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N:\ehitusyksus\EHITUSÜKSUS\OBJEKTID PAKKUMISES\Meremäe päästehoone rek\Pakkumusdok\"/>
    </mc:Choice>
  </mc:AlternateContent>
  <xr:revisionPtr revIDLastSave="0" documentId="13_ncr:1_{42EEBE25-06E7-4FE6-92F8-6800FC1B0A10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" l="1"/>
  <c r="D105" i="1"/>
  <c r="D33" i="1"/>
  <c r="D38" i="1"/>
  <c r="D96" i="1"/>
  <c r="E196" i="1"/>
  <c r="E195" i="1" s="1"/>
  <c r="E189" i="1"/>
  <c r="E181" i="1"/>
  <c r="E178" i="1"/>
  <c r="E162" i="1"/>
  <c r="E155" i="1"/>
  <c r="E151" i="1"/>
  <c r="E144" i="1"/>
  <c r="E133" i="1"/>
  <c r="E121" i="1"/>
  <c r="E117" i="1"/>
  <c r="E88" i="1"/>
  <c r="E84" i="1"/>
  <c r="E74" i="1"/>
  <c r="E62" i="1"/>
  <c r="E55" i="1"/>
  <c r="E50" i="1"/>
  <c r="E21" i="1"/>
  <c r="E12" i="1"/>
  <c r="E8" i="1" s="1"/>
  <c r="E9" i="1"/>
  <c r="D27" i="1"/>
  <c r="D26" i="1"/>
  <c r="D25" i="1"/>
  <c r="D24" i="1"/>
  <c r="D197" i="1"/>
  <c r="D209" i="1"/>
  <c r="D207" i="1"/>
  <c r="D171" i="1"/>
  <c r="D166" i="1"/>
  <c r="E166" i="1" s="1"/>
  <c r="D163" i="1"/>
  <c r="D164" i="1"/>
  <c r="D159" i="1"/>
  <c r="D130" i="1"/>
  <c r="D118" i="1"/>
  <c r="D119" i="1"/>
  <c r="D113" i="1"/>
  <c r="D114" i="1"/>
  <c r="D110" i="1"/>
  <c r="D108" i="1"/>
  <c r="D106" i="1"/>
  <c r="D76" i="1"/>
  <c r="D75" i="1"/>
  <c r="D72" i="1"/>
  <c r="D66" i="1"/>
  <c r="D65" i="1"/>
  <c r="D64" i="1"/>
  <c r="D63" i="1"/>
  <c r="D60" i="1"/>
  <c r="D57" i="1"/>
  <c r="D37" i="1"/>
  <c r="D32" i="1"/>
  <c r="E77" i="1"/>
  <c r="E171" i="1"/>
  <c r="E72" i="1"/>
  <c r="E18" i="1"/>
  <c r="E17" i="1"/>
  <c r="E16" i="1"/>
  <c r="E15" i="1"/>
  <c r="E14" i="1"/>
  <c r="E13" i="1"/>
  <c r="E10" i="1"/>
  <c r="E208" i="1"/>
  <c r="E136" i="1"/>
  <c r="E137" i="1"/>
  <c r="E138" i="1"/>
  <c r="E126" i="1"/>
  <c r="E127" i="1"/>
  <c r="E128" i="1"/>
  <c r="E129" i="1"/>
  <c r="E130" i="1"/>
  <c r="E98" i="1"/>
  <c r="E69" i="1"/>
  <c r="E52" i="1"/>
  <c r="E116" i="1" l="1"/>
  <c r="E54" i="1"/>
  <c r="E114" i="1"/>
  <c r="E113" i="1"/>
  <c r="E105" i="1"/>
  <c r="E104" i="1" s="1"/>
  <c r="E28" i="1"/>
  <c r="E68" i="1"/>
  <c r="E70" i="1"/>
  <c r="E71" i="1"/>
  <c r="E25" i="1"/>
  <c r="E26" i="1"/>
  <c r="E27" i="1"/>
  <c r="E58" i="1"/>
  <c r="E59" i="1"/>
  <c r="E60" i="1"/>
  <c r="E212" i="1"/>
  <c r="E209" i="1"/>
  <c r="E207" i="1"/>
  <c r="E206" i="1"/>
  <c r="E205" i="1"/>
  <c r="E204" i="1"/>
  <c r="E203" i="1"/>
  <c r="E202" i="1"/>
  <c r="E198" i="1"/>
  <c r="E197" i="1"/>
  <c r="E193" i="1"/>
  <c r="E192" i="1"/>
  <c r="E191" i="1"/>
  <c r="E190" i="1"/>
  <c r="E187" i="1"/>
  <c r="E186" i="1"/>
  <c r="E185" i="1"/>
  <c r="E184" i="1"/>
  <c r="E183" i="1"/>
  <c r="E182" i="1"/>
  <c r="E179" i="1"/>
  <c r="E176" i="1"/>
  <c r="E175" i="1"/>
  <c r="E174" i="1"/>
  <c r="E173" i="1"/>
  <c r="E172" i="1"/>
  <c r="E170" i="1"/>
  <c r="E167" i="1"/>
  <c r="E165" i="1"/>
  <c r="E164" i="1"/>
  <c r="E163" i="1"/>
  <c r="E159" i="1"/>
  <c r="E158" i="1"/>
  <c r="E157" i="1"/>
  <c r="E156" i="1"/>
  <c r="E153" i="1"/>
  <c r="E152" i="1"/>
  <c r="E149" i="1"/>
  <c r="E148" i="1"/>
  <c r="E147" i="1"/>
  <c r="E146" i="1"/>
  <c r="E145" i="1"/>
  <c r="E142" i="1"/>
  <c r="E141" i="1"/>
  <c r="E140" i="1"/>
  <c r="E139" i="1"/>
  <c r="E135" i="1"/>
  <c r="E134" i="1"/>
  <c r="E131" i="1"/>
  <c r="E125" i="1"/>
  <c r="E124" i="1"/>
  <c r="E123" i="1"/>
  <c r="E122" i="1"/>
  <c r="E119" i="1"/>
  <c r="E118" i="1"/>
  <c r="E112" i="1"/>
  <c r="E111" i="1"/>
  <c r="E110" i="1"/>
  <c r="E109" i="1"/>
  <c r="E108" i="1"/>
  <c r="E107" i="1"/>
  <c r="E106" i="1"/>
  <c r="E102" i="1"/>
  <c r="E101" i="1"/>
  <c r="E97" i="1"/>
  <c r="E96" i="1"/>
  <c r="E93" i="1" s="1"/>
  <c r="E95" i="1"/>
  <c r="E94" i="1"/>
  <c r="E91" i="1"/>
  <c r="E90" i="1"/>
  <c r="E89" i="1"/>
  <c r="E85" i="1"/>
  <c r="E82" i="1"/>
  <c r="E81" i="1"/>
  <c r="E80" i="1"/>
  <c r="E79" i="1"/>
  <c r="E78" i="1"/>
  <c r="E76" i="1"/>
  <c r="E75" i="1"/>
  <c r="E67" i="1"/>
  <c r="E66" i="1"/>
  <c r="E65" i="1"/>
  <c r="E64" i="1"/>
  <c r="E63" i="1"/>
  <c r="E57" i="1"/>
  <c r="E56" i="1"/>
  <c r="E51" i="1"/>
  <c r="E48" i="1"/>
  <c r="E47" i="1"/>
  <c r="E46" i="1"/>
  <c r="E43" i="1"/>
  <c r="E42" i="1"/>
  <c r="E41" i="1" s="1"/>
  <c r="E39" i="1"/>
  <c r="E38" i="1"/>
  <c r="E37" i="1"/>
  <c r="E33" i="1"/>
  <c r="E32" i="1"/>
  <c r="E24" i="1"/>
  <c r="E23" i="1"/>
  <c r="E22" i="1"/>
  <c r="E45" i="1" l="1"/>
  <c r="E36" i="1"/>
  <c r="D34" i="1"/>
  <c r="E34" i="1" s="1"/>
  <c r="E100" i="1"/>
  <c r="D31" i="1"/>
  <c r="E31" i="1" s="1"/>
  <c r="E87" i="1"/>
  <c r="E169" i="1"/>
  <c r="E161" i="1" s="1"/>
  <c r="E217" i="1"/>
  <c r="E219" i="1" s="1"/>
  <c r="E218" i="1" s="1"/>
  <c r="E201" i="1"/>
  <c r="E214" i="1" s="1"/>
  <c r="E216" i="1" s="1"/>
  <c r="E215" i="1" s="1"/>
  <c r="E211" i="1"/>
  <c r="E220" i="1"/>
  <c r="E222" i="1" s="1"/>
  <c r="E221" i="1" s="1"/>
  <c r="E30" i="1" l="1"/>
  <c r="E20" i="1" s="1"/>
  <c r="E200" i="1"/>
  <c r="E223" i="1"/>
  <c r="E225" i="1" s="1"/>
  <c r="E224" i="1" l="1"/>
</calcChain>
</file>

<file path=xl/sharedStrings.xml><?xml version="1.0" encoding="utf-8"?>
<sst xmlns="http://schemas.openxmlformats.org/spreadsheetml/2006/main" count="422" uniqueCount="206">
  <si>
    <t>Nimetus</t>
  </si>
  <si>
    <t>Maht</t>
  </si>
  <si>
    <t>Ühik</t>
  </si>
  <si>
    <t>Hind</t>
  </si>
  <si>
    <t>Summa</t>
  </si>
  <si>
    <t>Tarindid</t>
  </si>
  <si>
    <t>VÄLISRAJATISED</t>
  </si>
  <si>
    <t>Ettevalmistus ja lammutus</t>
  </si>
  <si>
    <t xml:space="preserve">Hoonete ja rajatiste kaitse </t>
  </si>
  <si>
    <t>Hoonevälised ehitised</t>
  </si>
  <si>
    <t>Välistrepid</t>
  </si>
  <si>
    <t>Välisvõrgud</t>
  </si>
  <si>
    <t>Kaeved maa-alal</t>
  </si>
  <si>
    <t>Maa-ala pinnakatted</t>
  </si>
  <si>
    <t xml:space="preserve">Väikeehitised maa-alal </t>
  </si>
  <si>
    <t xml:space="preserve">ALUSED JA VUNDAMENDID  </t>
  </si>
  <si>
    <t xml:space="preserve">Rostvärgid ja taldmikud </t>
  </si>
  <si>
    <t>Aluspõrandad</t>
  </si>
  <si>
    <t>Kandvad ja välisseinad</t>
  </si>
  <si>
    <t>Trepielemendid</t>
  </si>
  <si>
    <t>FASSAADIELEMENDID JA KATUSED</t>
  </si>
  <si>
    <t>Aknad</t>
  </si>
  <si>
    <t>Välisuksed ja väravad</t>
  </si>
  <si>
    <t>Lukustus ja varustus</t>
  </si>
  <si>
    <t>Piirded ja käiguteed</t>
  </si>
  <si>
    <t>Katusetarindid</t>
  </si>
  <si>
    <t>RUUMITARINDID JA PINNAKATTED</t>
  </si>
  <si>
    <t>Vaheseinad</t>
  </si>
  <si>
    <t>Laotud vaheseinad</t>
  </si>
  <si>
    <t>Siseuksed</t>
  </si>
  <si>
    <t>Sulgurid</t>
  </si>
  <si>
    <t>Lagede pinnakatted</t>
  </si>
  <si>
    <t>Siseseinte pinnakatted</t>
  </si>
  <si>
    <t>Treppide pinnakatted</t>
  </si>
  <si>
    <t>Astmete plaatkatted</t>
  </si>
  <si>
    <t>Põrandad ja põrandakatted</t>
  </si>
  <si>
    <t>TEHNOSÜSTEEMID</t>
  </si>
  <si>
    <t>Veevarustus ja kanalisatsioon</t>
  </si>
  <si>
    <t xml:space="preserve">Veevarustus  </t>
  </si>
  <si>
    <t>Kanalisatsioon</t>
  </si>
  <si>
    <t>Sanitaartehnika seadmed</t>
  </si>
  <si>
    <t>Isolatsioonid</t>
  </si>
  <si>
    <t>Küte, ventilatsioon ja jahutus</t>
  </si>
  <si>
    <t>Küttetorustikud</t>
  </si>
  <si>
    <t>Ventilatsioonitorustikud</t>
  </si>
  <si>
    <t>Tuletõrjevarustus</t>
  </si>
  <si>
    <t>Tugevvoolupaigaldis</t>
  </si>
  <si>
    <t>Elektri peajaotussüsteemid</t>
  </si>
  <si>
    <t>Kaabliteed</t>
  </si>
  <si>
    <t>Valgustussüsteemid</t>
  </si>
  <si>
    <t>Piksekaitse ja maandus</t>
  </si>
  <si>
    <t>Nõrkvoolupaigaldis ja automaatika</t>
  </si>
  <si>
    <t>Andmevõrgud, telefoni- ja infoedastussüsteemid</t>
  </si>
  <si>
    <t>ATS süsteemid</t>
  </si>
  <si>
    <t>EHITUSPLATSI KORRALDUSKULUD</t>
  </si>
  <si>
    <t>Ajutised ehitised ehitusplatsil</t>
  </si>
  <si>
    <t>Soojakud ja olmeruumid</t>
  </si>
  <si>
    <t>Tellingud, lavad, tõstukid</t>
  </si>
  <si>
    <t>kompl</t>
  </si>
  <si>
    <t>EHITUSPLATSI ÜLDKULUD</t>
  </si>
  <si>
    <t>Juhtimiskulud</t>
  </si>
  <si>
    <t>ITP palgad</t>
  </si>
  <si>
    <t>Kontori ülalpidamiskulud</t>
  </si>
  <si>
    <t>Valve</t>
  </si>
  <si>
    <t>Sidekulud</t>
  </si>
  <si>
    <t>Trasnpordikulud</t>
  </si>
  <si>
    <t>Lõppkoristus</t>
  </si>
  <si>
    <t>Lepingu erikulud</t>
  </si>
  <si>
    <t>KM 22%</t>
  </si>
  <si>
    <t>SUMMA</t>
  </si>
  <si>
    <t>KOKKU</t>
  </si>
  <si>
    <t>kuu</t>
  </si>
  <si>
    <t>tk</t>
  </si>
  <si>
    <t>Ettevalmistustööd</t>
  </si>
  <si>
    <t>m2</t>
  </si>
  <si>
    <t>Välisuste esised betoonplatsid</t>
  </si>
  <si>
    <t>Välivalgus fassaadil, uste kohal</t>
  </si>
  <si>
    <t>Platside alused väljakaeved</t>
  </si>
  <si>
    <t>Sokli lahti kaevamine</t>
  </si>
  <si>
    <t>Haljastuse taastamine</t>
  </si>
  <si>
    <t>Betoonplatsi killustikalused</t>
  </si>
  <si>
    <t>Välisuste esised betoonplatsid 150mm</t>
  </si>
  <si>
    <t>Imbala ja torustiku rajamine killustiku sisse</t>
  </si>
  <si>
    <t>Lipuvarda hoidja paigaldus fassaadile</t>
  </si>
  <si>
    <t>Sokli tagasitäited tihendatud liivaga</t>
  </si>
  <si>
    <t>Betoonpandus 800mm sokli äärde</t>
  </si>
  <si>
    <t xml:space="preserve">Sokli hüdroisolatsioon </t>
  </si>
  <si>
    <t xml:space="preserve">Sokli soojustamine 100mm </t>
  </si>
  <si>
    <t>Sokli soojustuse katmine tsementplaadiga 10mm</t>
  </si>
  <si>
    <t xml:space="preserve">Põrandate killustikalused 200mm </t>
  </si>
  <si>
    <t>Vaheseinte lammutamine hoones koos utiliseerimisega</t>
  </si>
  <si>
    <t>Puitpõrandate lammutamine hoones koos utiliseerimisega</t>
  </si>
  <si>
    <t>Betoonpõrandate lammutamine hoones koos utiliseerimisega</t>
  </si>
  <si>
    <t>Hooneosa eterniitkatuse lammutamine koos utiliseerimisega</t>
  </si>
  <si>
    <t>Sammumüraplaat 50mm koos paigaldusega</t>
  </si>
  <si>
    <t>Kile paigaldus, min 0,2mm</t>
  </si>
  <si>
    <t xml:space="preserve">Garaaži lihvitud betoonpõrand 150mm, arm 10, 150x150 </t>
  </si>
  <si>
    <t>Lihvitud betoonpõrandad 100mm, arm 8, 2002x200</t>
  </si>
  <si>
    <t>Välisuste alla tsingitud 50x50 vinklite paigaldus</t>
  </si>
  <si>
    <t>Vuukide lõikamine 4x4m</t>
  </si>
  <si>
    <t>Rajatavate ja olemasolevate tõstuste avadele  100x100 vinklitega raamide rehitus. Vinklid nii sise- kui välisseina pinnas ja peavad olema omavahel seotud. Silikaatseina tugevdamiseks ava parimeetril.</t>
  </si>
  <si>
    <t>Akna- ja ukseavade kinni ladumine</t>
  </si>
  <si>
    <t>Ukse- ja aknaavade lammutus</t>
  </si>
  <si>
    <t>Distantsliistu paigaldus 32x100</t>
  </si>
  <si>
    <t>Aknaplekkide paigaldus</t>
  </si>
  <si>
    <t>PVC aknad, 3k paketiga</t>
  </si>
  <si>
    <t>Puidust aknalauad koos paigaldusega</t>
  </si>
  <si>
    <t>Lukustus ja varustus (sarjasüdamikud)</t>
  </si>
  <si>
    <t>Käiguteede rajamine püüningule h=500mm, laiusega 600mm</t>
  </si>
  <si>
    <t>Välistrepi r/v terasest piire</t>
  </si>
  <si>
    <t>Aluskatte paigaldamine</t>
  </si>
  <si>
    <t xml:space="preserve">Distantsliist 32mm </t>
  </si>
  <si>
    <t>Alusroovituse paigaldus 50x100 vastavalt eterniiti paigaldusjuhendile</t>
  </si>
  <si>
    <t>Asbestivaba eterniitplaadi paigaldus, h hall</t>
  </si>
  <si>
    <t>Pööningu soojustamine tsellu-puistevillaga 500mm</t>
  </si>
  <si>
    <t>Puistevillale tuulesuunajate ehitus 2m ulatuses räästaast sarikate vahele tuuletõkkeplaadiga 13mm</t>
  </si>
  <si>
    <t xml:space="preserve">Räästakastide ehitus, rääastakasti laius  800mm fassaadi viimistlusmaterjalist. </t>
  </si>
  <si>
    <t>Sadeveesüsteem</t>
  </si>
  <si>
    <t>Siseaknad EI30</t>
  </si>
  <si>
    <t>Garaaži osa siseseinte puhastamine lahtisest värvist ja krohvist</t>
  </si>
  <si>
    <t>Garaaži osa siseseinte pinna krohviparandused ja värvimine heledas toonis 2x.</t>
  </si>
  <si>
    <t>Olmeruumide siseseinte krohvimine 10 mm</t>
  </si>
  <si>
    <t>Olmeruumide siseseinte tasandus ja värmimine</t>
  </si>
  <si>
    <t>Siseseinte plaatimine (plaat hinnas kuni 15€/m2)</t>
  </si>
  <si>
    <t>Plaatseinte alune hüdroisolatsioon</t>
  </si>
  <si>
    <t>Olemasolevate betoonlagede puhastamine lahtisest materjalist</t>
  </si>
  <si>
    <t>Betoonlagede tasandus ja parandustööd</t>
  </si>
  <si>
    <t>Betoonlagede värvimine 2x</t>
  </si>
  <si>
    <t>Ripplagede paigaldus</t>
  </si>
  <si>
    <t xml:space="preserve">Saina osa puitlagi h=2250 (lae talad, 60mm PIR, roovitus 25mm, termotöödeldud laud </t>
  </si>
  <si>
    <t>Astmete tasandus sisetrepil koos kõrguste ühtlustamisega</t>
  </si>
  <si>
    <t>Põrandate plaatkatted (plaat hinnas kuni 15 €/m2)</t>
  </si>
  <si>
    <t>Põrandate hüdroisolatsioon</t>
  </si>
  <si>
    <t>50x100 mm, s600, roovituse paigaldus vinklitega olemasoleva silikaadile</t>
  </si>
  <si>
    <t>Betoonpõrandatele pulber-pinnakõvendi paigaldus</t>
  </si>
  <si>
    <t>Küttekalorifeelide paigaldus garaažiosas</t>
  </si>
  <si>
    <t>Lipumasti paigalduseks betoonaluse rajamine</t>
  </si>
  <si>
    <t>obj.</t>
  </si>
  <si>
    <t>töö</t>
  </si>
  <si>
    <t>m3</t>
  </si>
  <si>
    <t>jm</t>
  </si>
  <si>
    <t>Varikatus välistrepi kohale (joonisel puudu)</t>
  </si>
  <si>
    <t>Septiku paigaldus 6m3 vastavalt tootja paigaldusjuhendile</t>
  </si>
  <si>
    <t>Väliskanalisatsiooni paigaldus 160mm, koos kaevudega</t>
  </si>
  <si>
    <t>200 mm EPS 120 põranda soojustus</t>
  </si>
  <si>
    <t>Marmoroc roovi paigaldus vastavalt tootja paigaldusjuhendile</t>
  </si>
  <si>
    <t>Marmoroc kivi paigaldus koos plekkidega nurga ja akna pale plekkidega (Kivi toon hele ja tume hall)</t>
  </si>
  <si>
    <t>Välisseinte soojustamine 100mm PIR. Vuugid teibitud</t>
  </si>
  <si>
    <t>objekt</t>
  </si>
  <si>
    <t>Terasuksed 1200X2100 koos liistudega</t>
  </si>
  <si>
    <t>Tõstanduksed automaatikaga (kõik paneelid maksimaalselt akendega), 2900x3700mm</t>
  </si>
  <si>
    <t>Tõstanduksed automaatikaga (kõik paneelid maksimaalselt akendega), 4100x4900mm</t>
  </si>
  <si>
    <t>Tõstanduksed käiguuksega, automaatikaga (kõik paneelid maksimaalselt akendega ja madala lävepakuga), 2900x3700mm</t>
  </si>
  <si>
    <t>Terasuks 900x2100, EI30</t>
  </si>
  <si>
    <t>Terasuks 700x2100, EI30</t>
  </si>
  <si>
    <t>Terasuks 1950x1900, EI30, kahepoolne</t>
  </si>
  <si>
    <t>Terasuks 1500x2000, EI30, kahepoolne</t>
  </si>
  <si>
    <t xml:space="preserve">Teras siseuks 650x2100, </t>
  </si>
  <si>
    <t>Teras siseuks  800x2100</t>
  </si>
  <si>
    <t>Teras siseuks 1000x2100</t>
  </si>
  <si>
    <t>Teras siseuks 700x1900</t>
  </si>
  <si>
    <t>Sauna seinte ehitus (50mm PIR, roovitus 25mm, termotöödeldud laudis)</t>
  </si>
  <si>
    <t>Olmeruumide olemasolevate seinte puhastamine lahtisest värvist ja krohvist</t>
  </si>
  <si>
    <t>Olmeruumide olemasolevate seinte tasandamine ja värvimine</t>
  </si>
  <si>
    <t>Puitpõrandad (16mm parkett)</t>
  </si>
  <si>
    <t>Põrandaküttetorustiku paigaldus</t>
  </si>
  <si>
    <t>Isoleerimised</t>
  </si>
  <si>
    <t>Installatsioonimaterjalid</t>
  </si>
  <si>
    <t>Valveseadmete paigaldus</t>
  </si>
  <si>
    <t>Videovalve (garaaž+välisperimeeter)</t>
  </si>
  <si>
    <t>Ehitusplatsi korrashoid/prügivedu</t>
  </si>
  <si>
    <t>Tulekustutid 6kg pulber koos paigaldusega</t>
  </si>
  <si>
    <t>Ehitustööde CAR kindlustus, ka garantiiperiood</t>
  </si>
  <si>
    <t>Konstruktiivse osa joonised (vajadusel)</t>
  </si>
  <si>
    <t>Küttesüsteemide põhiprojekt</t>
  </si>
  <si>
    <t>Veevarustuse ja kanalisatsiooni põhiprojekt</t>
  </si>
  <si>
    <t>Ventilatsioonisüsteemide põhiprojekt</t>
  </si>
  <si>
    <t>Tugevvoolu põhiprojekti</t>
  </si>
  <si>
    <t>Täitedokumentatsiooni vormistamine koos kasutusloa taotlemisega</t>
  </si>
  <si>
    <t>Ventilatsiooniseadmed koos automaatikaga, ka CO2 andurid</t>
  </si>
  <si>
    <t>Vesi-õhk soojuspumba paigaldus koos automaatikaga, sh kaugjälgimine ja juhtimine</t>
  </si>
  <si>
    <t>Ehitusaegne elektrikulu</t>
  </si>
  <si>
    <t>EHITUSPROJEKTEERIMINE</t>
  </si>
  <si>
    <t>Eriosade projekteerimine</t>
  </si>
  <si>
    <t xml:space="preserve"> Hinnapakkumuse maksumuse tabel</t>
  </si>
  <si>
    <t>Pakkuja nimi</t>
  </si>
  <si>
    <t xml:space="preserve">Hankija nimi </t>
  </si>
  <si>
    <t xml:space="preserve">Riigihanke nimetus: </t>
  </si>
  <si>
    <t>MTÜ Meremäe Vabatahtlikud Päästjad</t>
  </si>
  <si>
    <t>Meremäe vabatahtlike päästekomando hoone rekonstrueerimine</t>
  </si>
  <si>
    <t>Kaabeldus (pinnapealne torus, olmeosas süvistatud)</t>
  </si>
  <si>
    <t>Garaaži põrandale 100mm rennide paigaldus</t>
  </si>
  <si>
    <t>Remondikanali ehitus (pikkus 12000mm, laius 800mm, sügavus 1200mm)</t>
  </si>
  <si>
    <t>Nõrkvoolu ja automaatika põhiprojekt</t>
  </si>
  <si>
    <t>100 mm XPS 300 paigaldus põranda perimeetril garaažis</t>
  </si>
  <si>
    <t>Käsipuude paigaldus sisetrepil, (kahe toru piire)</t>
  </si>
  <si>
    <t>Puitaknad karastatud klaasiga, väljast värvitud</t>
  </si>
  <si>
    <t>Kandekonstruktsiooni tugevdamine</t>
  </si>
  <si>
    <t>I etapi hind kokku</t>
  </si>
  <si>
    <t>II etapi hind kokku</t>
  </si>
  <si>
    <t>III etapi hind kokku</t>
  </si>
  <si>
    <t xml:space="preserve">Märkused: </t>
  </si>
  <si>
    <t xml:space="preserve">Tellija jätab endale võimaluse teostada töid etapiti, sealjuures määramata etappide järjekorda, kas ühe või mitme etapi summana sihthinna piires. </t>
  </si>
  <si>
    <t>Semuehitus OÜ</t>
  </si>
  <si>
    <t>rida 50 oli valemist väljas</t>
  </si>
  <si>
    <t>välisuste aluste väljakaeveid ei saa teise etappi panna kui betoonplatsid I etapis ära rajatakse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</si>
</sst>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186"/>
      <scheme val="minor"/>
    </font>
    <font>
      <sz val="11"/>
      <color theme="1"/>
      <name val="Aptos Narrow"/>
      <family val="2"/>
      <scheme val="minor"/>
    </font>
    <font>
      <b/>
      <sz val="16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Aptos Narrow"/>
      <family val="2"/>
      <charset val="186"/>
      <scheme val="minor"/>
    </font>
    <font>
      <sz val="11"/>
      <color rgb="FFFF0000"/>
      <name val="Aptos Narrow"/>
      <family val="2"/>
      <charset val="186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164" fontId="1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1" fillId="2" borderId="4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/>
    <xf numFmtId="164" fontId="0" fillId="0" borderId="6" xfId="0" applyNumberFormat="1" applyBorder="1"/>
    <xf numFmtId="164" fontId="0" fillId="0" borderId="7" xfId="0" applyNumberFormat="1" applyBorder="1" applyAlignment="1">
      <alignment horizontal="center"/>
    </xf>
    <xf numFmtId="0" fontId="0" fillId="0" borderId="8" xfId="0" applyBorder="1" applyAlignment="1">
      <alignment wrapText="1"/>
    </xf>
    <xf numFmtId="164" fontId="0" fillId="0" borderId="9" xfId="0" applyNumberFormat="1" applyBorder="1" applyAlignment="1">
      <alignment horizontal="center"/>
    </xf>
    <xf numFmtId="164" fontId="1" fillId="3" borderId="10" xfId="0" applyNumberFormat="1" applyFont="1" applyFill="1" applyBorder="1" applyAlignment="1">
      <alignment horizontal="center" wrapText="1"/>
    </xf>
    <xf numFmtId="164" fontId="1" fillId="0" borderId="11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0" fillId="4" borderId="1" xfId="0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16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8" xfId="0" applyFill="1" applyBorder="1" applyAlignment="1">
      <alignment wrapText="1"/>
    </xf>
    <xf numFmtId="164" fontId="0" fillId="4" borderId="11" xfId="0" applyNumberFormat="1" applyFill="1" applyBorder="1" applyAlignment="1">
      <alignment horizontal="center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>
      <alignment horizontal="center"/>
    </xf>
    <xf numFmtId="0" fontId="0" fillId="4" borderId="3" xfId="0" applyFill="1" applyBorder="1" applyAlignment="1">
      <alignment wrapText="1"/>
    </xf>
    <xf numFmtId="0" fontId="0" fillId="4" borderId="3" xfId="0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164" fontId="0" fillId="4" borderId="4" xfId="0" applyNumberFormat="1" applyFill="1" applyBorder="1" applyAlignment="1">
      <alignment horizontal="center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0" fillId="6" borderId="1" xfId="0" applyFill="1" applyBorder="1" applyAlignment="1">
      <alignment wrapText="1"/>
    </xf>
    <xf numFmtId="16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0" xfId="0" applyAlignment="1">
      <alignment horizontal="right" wrapText="1"/>
    </xf>
    <xf numFmtId="164" fontId="0" fillId="6" borderId="11" xfId="0" applyNumberForma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9" fillId="4" borderId="1" xfId="0" applyNumberFormat="1" applyFont="1" applyFill="1" applyBorder="1" applyAlignment="1">
      <alignment horizontal="center"/>
    </xf>
    <xf numFmtId="0" fontId="8" fillId="0" borderId="0" xfId="0" applyFont="1"/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wrapText="1"/>
    </xf>
    <xf numFmtId="0" fontId="11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1"/>
  <sheetViews>
    <sheetView tabSelected="1" topLeftCell="A202" zoomScale="115" zoomScaleNormal="115" workbookViewId="0">
      <selection activeCell="F222" sqref="F222"/>
    </sheetView>
  </sheetViews>
  <sheetFormatPr defaultRowHeight="15" x14ac:dyDescent="0.25"/>
  <cols>
    <col min="1" max="1" width="48" style="2" customWidth="1"/>
    <col min="2" max="2" width="6.5703125" customWidth="1"/>
    <col min="3" max="3" width="6.5703125" bestFit="1" customWidth="1"/>
    <col min="4" max="4" width="11.42578125" style="1" bestFit="1" customWidth="1"/>
    <col min="5" max="5" width="14" style="9" bestFit="1" customWidth="1"/>
  </cols>
  <sheetData>
    <row r="1" spans="1:5" x14ac:dyDescent="0.25">
      <c r="A1" s="20"/>
      <c r="B1" s="21"/>
      <c r="C1" s="21"/>
      <c r="D1" s="22"/>
      <c r="E1" s="23"/>
    </row>
    <row r="2" spans="1:5" ht="20.25" x14ac:dyDescent="0.3">
      <c r="A2" s="54" t="s">
        <v>184</v>
      </c>
      <c r="B2" s="55"/>
      <c r="C2" s="55"/>
      <c r="D2" s="55"/>
      <c r="E2" s="56"/>
    </row>
    <row r="3" spans="1:5" ht="15.75" x14ac:dyDescent="0.25">
      <c r="A3" s="18" t="s">
        <v>186</v>
      </c>
      <c r="B3" s="53" t="s">
        <v>188</v>
      </c>
      <c r="C3" s="53"/>
      <c r="D3" s="53"/>
      <c r="E3" s="53"/>
    </row>
    <row r="4" spans="1:5" ht="15.75" x14ac:dyDescent="0.25">
      <c r="A4" s="18" t="s">
        <v>185</v>
      </c>
      <c r="B4" s="53" t="s">
        <v>203</v>
      </c>
      <c r="C4" s="53"/>
      <c r="D4" s="53"/>
      <c r="E4" s="53"/>
    </row>
    <row r="5" spans="1:5" ht="31.5" customHeight="1" x14ac:dyDescent="0.25">
      <c r="A5" s="19" t="s">
        <v>187</v>
      </c>
      <c r="B5" s="52" t="s">
        <v>189</v>
      </c>
      <c r="C5" s="52"/>
      <c r="D5" s="52"/>
      <c r="E5" s="52"/>
    </row>
    <row r="6" spans="1:5" x14ac:dyDescent="0.25">
      <c r="A6" s="24"/>
      <c r="E6" s="25"/>
    </row>
    <row r="7" spans="1:5" x14ac:dyDescent="0.25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</row>
    <row r="8" spans="1:5" x14ac:dyDescent="0.25">
      <c r="A8" s="14" t="s">
        <v>182</v>
      </c>
      <c r="B8" s="14"/>
      <c r="C8" s="14"/>
      <c r="D8" s="14"/>
      <c r="E8" s="16">
        <f>E9+E12</f>
        <v>8430</v>
      </c>
    </row>
    <row r="9" spans="1:5" x14ac:dyDescent="0.25">
      <c r="A9" s="4" t="s">
        <v>5</v>
      </c>
      <c r="B9" s="3" t="s">
        <v>1</v>
      </c>
      <c r="C9" s="3" t="s">
        <v>2</v>
      </c>
      <c r="D9" s="3" t="s">
        <v>3</v>
      </c>
      <c r="E9" s="6">
        <f>E10</f>
        <v>865</v>
      </c>
    </row>
    <row r="10" spans="1:5" x14ac:dyDescent="0.25">
      <c r="A10" s="29" t="s">
        <v>173</v>
      </c>
      <c r="B10" s="30">
        <v>1</v>
      </c>
      <c r="C10" s="30" t="s">
        <v>148</v>
      </c>
      <c r="D10" s="30">
        <v>865</v>
      </c>
      <c r="E10" s="31">
        <f t="shared" ref="E10" si="0">B10*D10</f>
        <v>865</v>
      </c>
    </row>
    <row r="11" spans="1:5" x14ac:dyDescent="0.25">
      <c r="A11" s="5"/>
      <c r="B11" s="7"/>
      <c r="C11" s="7"/>
      <c r="D11" s="10"/>
      <c r="E11" s="7"/>
    </row>
    <row r="12" spans="1:5" x14ac:dyDescent="0.25">
      <c r="A12" s="4" t="s">
        <v>183</v>
      </c>
      <c r="B12" s="3" t="s">
        <v>1</v>
      </c>
      <c r="C12" s="3" t="s">
        <v>2</v>
      </c>
      <c r="D12" s="3" t="s">
        <v>3</v>
      </c>
      <c r="E12" s="6">
        <f>SUM(E13:E18)</f>
        <v>7565</v>
      </c>
    </row>
    <row r="13" spans="1:5" x14ac:dyDescent="0.25">
      <c r="A13" s="29" t="s">
        <v>174</v>
      </c>
      <c r="B13" s="30">
        <v>1</v>
      </c>
      <c r="C13" s="30" t="s">
        <v>148</v>
      </c>
      <c r="D13" s="30">
        <v>600</v>
      </c>
      <c r="E13" s="31">
        <f t="shared" ref="E13:E18" si="1">B13*D13</f>
        <v>600</v>
      </c>
    </row>
    <row r="14" spans="1:5" x14ac:dyDescent="0.25">
      <c r="A14" s="29" t="s">
        <v>175</v>
      </c>
      <c r="B14" s="30">
        <v>1</v>
      </c>
      <c r="C14" s="30" t="s">
        <v>148</v>
      </c>
      <c r="D14" s="30">
        <v>650</v>
      </c>
      <c r="E14" s="31">
        <f t="shared" si="1"/>
        <v>650</v>
      </c>
    </row>
    <row r="15" spans="1:5" x14ac:dyDescent="0.25">
      <c r="A15" s="29" t="s">
        <v>176</v>
      </c>
      <c r="B15" s="30">
        <v>1</v>
      </c>
      <c r="C15" s="30" t="s">
        <v>148</v>
      </c>
      <c r="D15" s="30">
        <v>2260</v>
      </c>
      <c r="E15" s="31">
        <f t="shared" si="1"/>
        <v>2260</v>
      </c>
    </row>
    <row r="16" spans="1:5" x14ac:dyDescent="0.25">
      <c r="A16" s="29" t="s">
        <v>177</v>
      </c>
      <c r="B16" s="30">
        <v>1</v>
      </c>
      <c r="C16" s="30" t="s">
        <v>148</v>
      </c>
      <c r="D16" s="30">
        <v>620</v>
      </c>
      <c r="E16" s="31">
        <f t="shared" si="1"/>
        <v>620</v>
      </c>
    </row>
    <row r="17" spans="1:5" x14ac:dyDescent="0.25">
      <c r="A17" s="29" t="s">
        <v>193</v>
      </c>
      <c r="B17" s="30">
        <v>1</v>
      </c>
      <c r="C17" s="30" t="s">
        <v>148</v>
      </c>
      <c r="D17" s="30">
        <v>2400</v>
      </c>
      <c r="E17" s="31">
        <f t="shared" si="1"/>
        <v>2400</v>
      </c>
    </row>
    <row r="18" spans="1:5" ht="30" x14ac:dyDescent="0.25">
      <c r="A18" s="29" t="s">
        <v>178</v>
      </c>
      <c r="B18" s="30">
        <v>1</v>
      </c>
      <c r="C18" s="30" t="s">
        <v>148</v>
      </c>
      <c r="D18" s="30">
        <v>1035</v>
      </c>
      <c r="E18" s="31">
        <f t="shared" si="1"/>
        <v>1035</v>
      </c>
    </row>
    <row r="19" spans="1:5" x14ac:dyDescent="0.25">
      <c r="A19" s="7"/>
      <c r="B19" s="7"/>
      <c r="C19" s="7"/>
      <c r="D19" s="7"/>
      <c r="E19" s="7"/>
    </row>
    <row r="20" spans="1:5" x14ac:dyDescent="0.25">
      <c r="A20" s="14" t="s">
        <v>6</v>
      </c>
      <c r="B20" s="15"/>
      <c r="C20" s="15"/>
      <c r="D20" s="15"/>
      <c r="E20" s="16">
        <f>E21+E30+E36+E41+E45+E50</f>
        <v>51432.170000000006</v>
      </c>
    </row>
    <row r="21" spans="1:5" x14ac:dyDescent="0.25">
      <c r="A21" s="4" t="s">
        <v>7</v>
      </c>
      <c r="B21" s="3" t="s">
        <v>1</v>
      </c>
      <c r="C21" s="3" t="s">
        <v>2</v>
      </c>
      <c r="D21" s="3" t="s">
        <v>3</v>
      </c>
      <c r="E21" s="6">
        <f>SUM(E22:E28)</f>
        <v>20743.230000000003</v>
      </c>
    </row>
    <row r="22" spans="1:5" x14ac:dyDescent="0.25">
      <c r="A22" s="29" t="s">
        <v>73</v>
      </c>
      <c r="B22" s="32">
        <v>1</v>
      </c>
      <c r="C22" s="32" t="s">
        <v>137</v>
      </c>
      <c r="D22" s="31">
        <v>759.11</v>
      </c>
      <c r="E22" s="31">
        <f t="shared" ref="E22:E28" si="2">B22*D22</f>
        <v>759.11</v>
      </c>
    </row>
    <row r="23" spans="1:5" x14ac:dyDescent="0.25">
      <c r="A23" s="29" t="s">
        <v>8</v>
      </c>
      <c r="B23" s="32">
        <v>1</v>
      </c>
      <c r="C23" s="32" t="s">
        <v>138</v>
      </c>
      <c r="D23" s="31">
        <v>0</v>
      </c>
      <c r="E23" s="31">
        <f t="shared" si="2"/>
        <v>0</v>
      </c>
    </row>
    <row r="24" spans="1:5" ht="30" x14ac:dyDescent="0.25">
      <c r="A24" s="29" t="s">
        <v>92</v>
      </c>
      <c r="B24" s="32">
        <v>378</v>
      </c>
      <c r="C24" s="32" t="s">
        <v>74</v>
      </c>
      <c r="D24" s="31">
        <f>11194.88/B24</f>
        <v>29.616084656084652</v>
      </c>
      <c r="E24" s="31">
        <f t="shared" si="2"/>
        <v>11194.88</v>
      </c>
    </row>
    <row r="25" spans="1:5" ht="30" x14ac:dyDescent="0.25">
      <c r="A25" s="29" t="s">
        <v>91</v>
      </c>
      <c r="B25" s="32">
        <v>87</v>
      </c>
      <c r="C25" s="32" t="s">
        <v>74</v>
      </c>
      <c r="D25" s="31">
        <f>741.95/B25</f>
        <v>8.5281609195402304</v>
      </c>
      <c r="E25" s="31">
        <f t="shared" si="2"/>
        <v>741.95</v>
      </c>
    </row>
    <row r="26" spans="1:5" ht="17.25" customHeight="1" x14ac:dyDescent="0.25">
      <c r="A26" s="29" t="s">
        <v>90</v>
      </c>
      <c r="B26" s="32">
        <v>32</v>
      </c>
      <c r="C26" s="32" t="s">
        <v>74</v>
      </c>
      <c r="D26" s="31">
        <f>699.41/B26</f>
        <v>21.856562499999999</v>
      </c>
      <c r="E26" s="31">
        <f t="shared" si="2"/>
        <v>699.41</v>
      </c>
    </row>
    <row r="27" spans="1:5" ht="30" x14ac:dyDescent="0.25">
      <c r="A27" s="79" t="s">
        <v>93</v>
      </c>
      <c r="B27" s="83">
        <v>461</v>
      </c>
      <c r="C27" s="83" t="s">
        <v>74</v>
      </c>
      <c r="D27" s="31">
        <f>6974.98/B27</f>
        <v>15.130108459869847</v>
      </c>
      <c r="E27" s="31">
        <f t="shared" si="2"/>
        <v>6974.98</v>
      </c>
    </row>
    <row r="28" spans="1:5" x14ac:dyDescent="0.25">
      <c r="A28" s="29" t="s">
        <v>102</v>
      </c>
      <c r="B28" s="32">
        <v>11</v>
      </c>
      <c r="C28" s="32" t="s">
        <v>74</v>
      </c>
      <c r="D28" s="31">
        <v>33.9</v>
      </c>
      <c r="E28" s="31">
        <f t="shared" si="2"/>
        <v>372.9</v>
      </c>
    </row>
    <row r="29" spans="1:5" x14ac:dyDescent="0.25">
      <c r="A29" s="5"/>
      <c r="B29" s="11"/>
      <c r="C29" s="11"/>
      <c r="D29" s="8"/>
      <c r="E29" s="8"/>
    </row>
    <row r="30" spans="1:5" x14ac:dyDescent="0.25">
      <c r="A30" s="4" t="s">
        <v>9</v>
      </c>
      <c r="B30" s="3" t="s">
        <v>1</v>
      </c>
      <c r="C30" s="3" t="s">
        <v>2</v>
      </c>
      <c r="D30" s="3" t="s">
        <v>3</v>
      </c>
      <c r="E30" s="6">
        <f>SUM(E31:E34)</f>
        <v>16829.23</v>
      </c>
    </row>
    <row r="31" spans="1:5" x14ac:dyDescent="0.25">
      <c r="A31" s="44" t="s">
        <v>10</v>
      </c>
      <c r="B31" s="46">
        <v>1</v>
      </c>
      <c r="C31" s="46" t="s">
        <v>72</v>
      </c>
      <c r="D31" s="45">
        <f>7316-E102</f>
        <v>6269.5</v>
      </c>
      <c r="E31" s="45">
        <f t="shared" ref="E31:E34" si="3">B31*D31</f>
        <v>6269.5</v>
      </c>
    </row>
    <row r="32" spans="1:5" x14ac:dyDescent="0.25">
      <c r="A32" s="44" t="s">
        <v>141</v>
      </c>
      <c r="B32" s="46">
        <v>8</v>
      </c>
      <c r="C32" s="46" t="s">
        <v>74</v>
      </c>
      <c r="D32" s="45">
        <f>1735.02/B32</f>
        <v>216.8775</v>
      </c>
      <c r="E32" s="45">
        <f t="shared" si="3"/>
        <v>1735.02</v>
      </c>
    </row>
    <row r="33" spans="1:6" x14ac:dyDescent="0.25">
      <c r="A33" s="81" t="s">
        <v>75</v>
      </c>
      <c r="B33" s="82">
        <v>70</v>
      </c>
      <c r="C33" s="82" t="s">
        <v>74</v>
      </c>
      <c r="D33" s="31">
        <f>(7456.77-E42-E47)/B33</f>
        <v>85.953857142857146</v>
      </c>
      <c r="E33" s="31">
        <f t="shared" si="3"/>
        <v>6016.77</v>
      </c>
    </row>
    <row r="34" spans="1:6" ht="30" x14ac:dyDescent="0.25">
      <c r="A34" s="33" t="s">
        <v>142</v>
      </c>
      <c r="B34" s="32">
        <v>1</v>
      </c>
      <c r="C34" s="32" t="s">
        <v>72</v>
      </c>
      <c r="D34" s="31">
        <f>3907.94-E38</f>
        <v>2807.94</v>
      </c>
      <c r="E34" s="31">
        <f t="shared" si="3"/>
        <v>2807.94</v>
      </c>
    </row>
    <row r="35" spans="1:6" x14ac:dyDescent="0.25">
      <c r="A35" s="5"/>
      <c r="B35" s="11"/>
      <c r="C35" s="11"/>
      <c r="D35" s="8"/>
      <c r="E35" s="8"/>
    </row>
    <row r="36" spans="1:6" x14ac:dyDescent="0.25">
      <c r="A36" s="4" t="s">
        <v>11</v>
      </c>
      <c r="B36" s="3" t="s">
        <v>1</v>
      </c>
      <c r="C36" s="3" t="s">
        <v>2</v>
      </c>
      <c r="D36" s="3" t="s">
        <v>3</v>
      </c>
      <c r="E36" s="6">
        <f>SUM(E37:E39)</f>
        <v>4173.1499999999996</v>
      </c>
    </row>
    <row r="37" spans="1:6" ht="30" x14ac:dyDescent="0.25">
      <c r="A37" s="29" t="s">
        <v>143</v>
      </c>
      <c r="B37" s="32">
        <v>23</v>
      </c>
      <c r="C37" s="32" t="s">
        <v>140</v>
      </c>
      <c r="D37" s="31">
        <f>2623.15/B37</f>
        <v>114.05</v>
      </c>
      <c r="E37" s="31">
        <f t="shared" ref="E37:E39" si="4">B37*D37</f>
        <v>2623.15</v>
      </c>
    </row>
    <row r="38" spans="1:6" x14ac:dyDescent="0.25">
      <c r="A38" s="29" t="s">
        <v>82</v>
      </c>
      <c r="B38" s="32">
        <v>40</v>
      </c>
      <c r="C38" s="32" t="s">
        <v>74</v>
      </c>
      <c r="D38" s="31">
        <f>1100/B38</f>
        <v>27.5</v>
      </c>
      <c r="E38" s="31">
        <f t="shared" si="4"/>
        <v>1100</v>
      </c>
    </row>
    <row r="39" spans="1:6" x14ac:dyDescent="0.25">
      <c r="A39" s="29" t="s">
        <v>76</v>
      </c>
      <c r="B39" s="32">
        <v>1</v>
      </c>
      <c r="C39" s="32" t="s">
        <v>58</v>
      </c>
      <c r="D39" s="31">
        <v>450</v>
      </c>
      <c r="E39" s="31">
        <f t="shared" si="4"/>
        <v>450</v>
      </c>
    </row>
    <row r="40" spans="1:6" x14ac:dyDescent="0.25">
      <c r="A40" s="5"/>
      <c r="B40" s="11"/>
      <c r="C40" s="11"/>
      <c r="D40" s="8"/>
      <c r="E40" s="8"/>
    </row>
    <row r="41" spans="1:6" x14ac:dyDescent="0.25">
      <c r="A41" s="4" t="s">
        <v>12</v>
      </c>
      <c r="B41" s="3" t="s">
        <v>1</v>
      </c>
      <c r="C41" s="3" t="s">
        <v>2</v>
      </c>
      <c r="D41" s="3" t="s">
        <v>3</v>
      </c>
      <c r="E41" s="6">
        <f>SUM(E42:E43)</f>
        <v>1997.25</v>
      </c>
    </row>
    <row r="42" spans="1:6" x14ac:dyDescent="0.25">
      <c r="A42" s="41" t="s">
        <v>77</v>
      </c>
      <c r="B42" s="42">
        <v>32</v>
      </c>
      <c r="C42" s="42" t="s">
        <v>139</v>
      </c>
      <c r="D42" s="31">
        <v>20</v>
      </c>
      <c r="E42" s="31">
        <f t="shared" ref="E42:E43" si="5">B42*D42</f>
        <v>640</v>
      </c>
      <c r="F42" t="s">
        <v>205</v>
      </c>
    </row>
    <row r="43" spans="1:6" x14ac:dyDescent="0.25">
      <c r="A43" s="41" t="s">
        <v>78</v>
      </c>
      <c r="B43" s="42">
        <v>61</v>
      </c>
      <c r="C43" s="42" t="s">
        <v>139</v>
      </c>
      <c r="D43" s="43">
        <v>22.25</v>
      </c>
      <c r="E43" s="43">
        <f t="shared" si="5"/>
        <v>1357.25</v>
      </c>
    </row>
    <row r="44" spans="1:6" x14ac:dyDescent="0.25">
      <c r="A44" s="5"/>
      <c r="B44" s="11"/>
      <c r="C44" s="11"/>
      <c r="D44" s="8"/>
      <c r="E44" s="8"/>
    </row>
    <row r="45" spans="1:6" x14ac:dyDescent="0.25">
      <c r="A45" s="4" t="s">
        <v>13</v>
      </c>
      <c r="B45" s="3" t="s">
        <v>1</v>
      </c>
      <c r="C45" s="3" t="s">
        <v>2</v>
      </c>
      <c r="D45" s="3" t="s">
        <v>3</v>
      </c>
      <c r="E45" s="6">
        <f>SUM(E46:E48)</f>
        <v>7215.17</v>
      </c>
    </row>
    <row r="46" spans="1:6" x14ac:dyDescent="0.25">
      <c r="A46" s="41" t="s">
        <v>79</v>
      </c>
      <c r="B46" s="42">
        <v>120</v>
      </c>
      <c r="C46" s="42" t="s">
        <v>74</v>
      </c>
      <c r="D46" s="43">
        <v>3.32</v>
      </c>
      <c r="E46" s="43">
        <f t="shared" ref="E46:E48" si="6">B46*D46</f>
        <v>398.4</v>
      </c>
    </row>
    <row r="47" spans="1:6" x14ac:dyDescent="0.25">
      <c r="A47" s="29" t="s">
        <v>80</v>
      </c>
      <c r="B47" s="32">
        <v>16</v>
      </c>
      <c r="C47" s="32" t="s">
        <v>139</v>
      </c>
      <c r="D47" s="31">
        <v>50</v>
      </c>
      <c r="E47" s="31">
        <f t="shared" si="6"/>
        <v>800</v>
      </c>
    </row>
    <row r="48" spans="1:6" x14ac:dyDescent="0.25">
      <c r="A48" s="81" t="s">
        <v>81</v>
      </c>
      <c r="B48" s="82">
        <v>70</v>
      </c>
      <c r="C48" s="82" t="s">
        <v>74</v>
      </c>
      <c r="D48" s="31">
        <f>D33</f>
        <v>85.953857142857146</v>
      </c>
      <c r="E48" s="31">
        <f t="shared" si="6"/>
        <v>6016.77</v>
      </c>
      <c r="F48" s="51"/>
    </row>
    <row r="49" spans="1:5" x14ac:dyDescent="0.25">
      <c r="A49" s="5"/>
      <c r="B49" s="11"/>
      <c r="C49" s="11"/>
      <c r="D49" s="8"/>
      <c r="E49" s="8"/>
    </row>
    <row r="50" spans="1:5" x14ac:dyDescent="0.25">
      <c r="A50" s="4" t="s">
        <v>14</v>
      </c>
      <c r="B50" s="3" t="s">
        <v>1</v>
      </c>
      <c r="C50" s="3" t="s">
        <v>2</v>
      </c>
      <c r="D50" s="3" t="s">
        <v>3</v>
      </c>
      <c r="E50" s="6">
        <f>SUM(E51:E52)</f>
        <v>474.14</v>
      </c>
    </row>
    <row r="51" spans="1:5" x14ac:dyDescent="0.25">
      <c r="A51" s="41" t="s">
        <v>83</v>
      </c>
      <c r="B51" s="42">
        <v>1</v>
      </c>
      <c r="C51" s="42" t="s">
        <v>72</v>
      </c>
      <c r="D51" s="43">
        <v>93.95</v>
      </c>
      <c r="E51" s="43">
        <f t="shared" ref="E51:E52" si="7">B51*D51</f>
        <v>93.95</v>
      </c>
    </row>
    <row r="52" spans="1:5" ht="16.5" customHeight="1" x14ac:dyDescent="0.25">
      <c r="A52" s="41" t="s">
        <v>136</v>
      </c>
      <c r="B52" s="42">
        <v>1</v>
      </c>
      <c r="C52" s="42" t="s">
        <v>72</v>
      </c>
      <c r="D52" s="43">
        <v>380.19</v>
      </c>
      <c r="E52" s="43">
        <f t="shared" si="7"/>
        <v>380.19</v>
      </c>
    </row>
    <row r="53" spans="1:5" x14ac:dyDescent="0.25">
      <c r="A53" s="5"/>
      <c r="B53" s="11"/>
      <c r="C53" s="11"/>
      <c r="D53" s="8"/>
      <c r="E53" s="8"/>
    </row>
    <row r="54" spans="1:5" x14ac:dyDescent="0.25">
      <c r="A54" s="14" t="s">
        <v>15</v>
      </c>
      <c r="B54" s="15"/>
      <c r="C54" s="15"/>
      <c r="D54" s="15"/>
      <c r="E54" s="16">
        <f>E55+E62+E74+E84</f>
        <v>126959.26000000001</v>
      </c>
    </row>
    <row r="55" spans="1:5" x14ac:dyDescent="0.25">
      <c r="A55" s="4" t="s">
        <v>16</v>
      </c>
      <c r="B55" s="3" t="s">
        <v>1</v>
      </c>
      <c r="C55" s="3" t="s">
        <v>2</v>
      </c>
      <c r="D55" s="3" t="s">
        <v>3</v>
      </c>
      <c r="E55" s="6">
        <f>SUM(E56:E60)</f>
        <v>9893.08</v>
      </c>
    </row>
    <row r="56" spans="1:5" x14ac:dyDescent="0.25">
      <c r="A56" s="41" t="s">
        <v>84</v>
      </c>
      <c r="B56" s="42">
        <v>58</v>
      </c>
      <c r="C56" s="42" t="s">
        <v>139</v>
      </c>
      <c r="D56" s="43">
        <v>22.19</v>
      </c>
      <c r="E56" s="43">
        <f t="shared" ref="E56:E60" si="8">B56*D56</f>
        <v>1287.02</v>
      </c>
    </row>
    <row r="57" spans="1:5" x14ac:dyDescent="0.25">
      <c r="A57" s="41" t="s">
        <v>85</v>
      </c>
      <c r="B57" s="42">
        <v>32</v>
      </c>
      <c r="C57" s="42" t="s">
        <v>74</v>
      </c>
      <c r="D57" s="43">
        <f>1734.73/B57</f>
        <v>54.210312500000001</v>
      </c>
      <c r="E57" s="43">
        <f t="shared" si="8"/>
        <v>1734.73</v>
      </c>
    </row>
    <row r="58" spans="1:5" x14ac:dyDescent="0.25">
      <c r="A58" s="41" t="s">
        <v>86</v>
      </c>
      <c r="B58" s="42">
        <v>72</v>
      </c>
      <c r="C58" s="42" t="s">
        <v>74</v>
      </c>
      <c r="D58" s="43">
        <v>15.04</v>
      </c>
      <c r="E58" s="43">
        <f t="shared" si="8"/>
        <v>1082.8799999999999</v>
      </c>
    </row>
    <row r="59" spans="1:5" x14ac:dyDescent="0.25">
      <c r="A59" s="41" t="s">
        <v>87</v>
      </c>
      <c r="B59" s="42">
        <v>105</v>
      </c>
      <c r="C59" s="42" t="s">
        <v>74</v>
      </c>
      <c r="D59" s="43">
        <v>17.02</v>
      </c>
      <c r="E59" s="43">
        <f t="shared" si="8"/>
        <v>1787.1</v>
      </c>
    </row>
    <row r="60" spans="1:5" ht="17.25" customHeight="1" x14ac:dyDescent="0.25">
      <c r="A60" s="41" t="s">
        <v>88</v>
      </c>
      <c r="B60" s="42">
        <v>55</v>
      </c>
      <c r="C60" s="42" t="s">
        <v>74</v>
      </c>
      <c r="D60" s="43">
        <f>4001.35/B60</f>
        <v>72.75181818181818</v>
      </c>
      <c r="E60" s="43">
        <f t="shared" si="8"/>
        <v>4001.35</v>
      </c>
    </row>
    <row r="61" spans="1:5" x14ac:dyDescent="0.25">
      <c r="A61" s="5"/>
      <c r="B61" s="11"/>
      <c r="C61" s="11"/>
      <c r="D61" s="8"/>
      <c r="E61" s="8"/>
    </row>
    <row r="62" spans="1:5" x14ac:dyDescent="0.25">
      <c r="A62" s="4" t="s">
        <v>17</v>
      </c>
      <c r="B62" s="3" t="s">
        <v>1</v>
      </c>
      <c r="C62" s="3" t="s">
        <v>2</v>
      </c>
      <c r="D62" s="3" t="s">
        <v>3</v>
      </c>
      <c r="E62" s="6">
        <f>SUM(E63:E72)</f>
        <v>52200.89</v>
      </c>
    </row>
    <row r="63" spans="1:5" x14ac:dyDescent="0.25">
      <c r="A63" s="29" t="s">
        <v>89</v>
      </c>
      <c r="B63" s="32">
        <v>78</v>
      </c>
      <c r="C63" s="32" t="s">
        <v>139</v>
      </c>
      <c r="D63" s="31">
        <f>4175.4/B63</f>
        <v>53.530769230769224</v>
      </c>
      <c r="E63" s="31">
        <f t="shared" ref="E63:E72" si="9">B63*D63</f>
        <v>4175.3999999999996</v>
      </c>
    </row>
    <row r="64" spans="1:5" ht="30" x14ac:dyDescent="0.25">
      <c r="A64" s="29" t="s">
        <v>96</v>
      </c>
      <c r="B64" s="32">
        <v>244</v>
      </c>
      <c r="C64" s="32" t="s">
        <v>74</v>
      </c>
      <c r="D64" s="31">
        <f>17340.56/B64</f>
        <v>71.067868852459029</v>
      </c>
      <c r="E64" s="31">
        <f t="shared" si="9"/>
        <v>17340.560000000001</v>
      </c>
    </row>
    <row r="65" spans="1:5" ht="19.5" customHeight="1" x14ac:dyDescent="0.25">
      <c r="A65" s="29" t="s">
        <v>97</v>
      </c>
      <c r="B65" s="32">
        <v>222</v>
      </c>
      <c r="C65" s="32" t="s">
        <v>74</v>
      </c>
      <c r="D65" s="31">
        <f>9264.5/B65</f>
        <v>41.731981981981981</v>
      </c>
      <c r="E65" s="31">
        <f t="shared" si="9"/>
        <v>9264.5</v>
      </c>
    </row>
    <row r="66" spans="1:5" ht="16.5" customHeight="1" x14ac:dyDescent="0.25">
      <c r="A66" s="29" t="s">
        <v>98</v>
      </c>
      <c r="B66" s="32">
        <v>35</v>
      </c>
      <c r="C66" s="32" t="s">
        <v>140</v>
      </c>
      <c r="D66" s="31">
        <f>2685.41/B66</f>
        <v>76.725999999999999</v>
      </c>
      <c r="E66" s="31">
        <f t="shared" si="9"/>
        <v>2685.41</v>
      </c>
    </row>
    <row r="67" spans="1:5" ht="18" customHeight="1" x14ac:dyDescent="0.25">
      <c r="A67" s="29" t="s">
        <v>94</v>
      </c>
      <c r="B67" s="32">
        <v>99</v>
      </c>
      <c r="C67" s="32" t="s">
        <v>140</v>
      </c>
      <c r="D67" s="31">
        <v>24.49</v>
      </c>
      <c r="E67" s="31">
        <f t="shared" si="9"/>
        <v>2424.5099999999998</v>
      </c>
    </row>
    <row r="68" spans="1:5" ht="30" x14ac:dyDescent="0.25">
      <c r="A68" s="29" t="s">
        <v>194</v>
      </c>
      <c r="B68" s="32">
        <v>35</v>
      </c>
      <c r="C68" s="32" t="s">
        <v>74</v>
      </c>
      <c r="D68" s="31">
        <v>19.190000000000001</v>
      </c>
      <c r="E68" s="31">
        <f t="shared" si="9"/>
        <v>671.65000000000009</v>
      </c>
    </row>
    <row r="69" spans="1:5" x14ac:dyDescent="0.25">
      <c r="A69" s="29" t="s">
        <v>144</v>
      </c>
      <c r="B69" s="32">
        <v>131</v>
      </c>
      <c r="C69" s="32" t="s">
        <v>74</v>
      </c>
      <c r="D69" s="31">
        <v>10.130000000000001</v>
      </c>
      <c r="E69" s="31">
        <f t="shared" si="9"/>
        <v>1327.0300000000002</v>
      </c>
    </row>
    <row r="70" spans="1:5" x14ac:dyDescent="0.25">
      <c r="A70" s="29" t="s">
        <v>95</v>
      </c>
      <c r="B70" s="32">
        <v>466</v>
      </c>
      <c r="C70" s="32" t="s">
        <v>74</v>
      </c>
      <c r="D70" s="31">
        <v>2.1</v>
      </c>
      <c r="E70" s="31">
        <f t="shared" si="9"/>
        <v>978.6</v>
      </c>
    </row>
    <row r="71" spans="1:5" x14ac:dyDescent="0.25">
      <c r="A71" s="29" t="s">
        <v>99</v>
      </c>
      <c r="B71" s="32">
        <v>248</v>
      </c>
      <c r="C71" s="32" t="s">
        <v>74</v>
      </c>
      <c r="D71" s="31">
        <v>1.37</v>
      </c>
      <c r="E71" s="31">
        <f t="shared" si="9"/>
        <v>339.76000000000005</v>
      </c>
    </row>
    <row r="72" spans="1:5" ht="30" x14ac:dyDescent="0.25">
      <c r="A72" s="29" t="s">
        <v>192</v>
      </c>
      <c r="B72" s="32">
        <v>9.6</v>
      </c>
      <c r="C72" s="32" t="s">
        <v>74</v>
      </c>
      <c r="D72" s="31">
        <f>12993.47/B72</f>
        <v>1353.4864583333333</v>
      </c>
      <c r="E72" s="31">
        <f t="shared" si="9"/>
        <v>12993.47</v>
      </c>
    </row>
    <row r="73" spans="1:5" x14ac:dyDescent="0.25">
      <c r="A73" s="5"/>
      <c r="B73" s="11"/>
      <c r="C73" s="11"/>
      <c r="D73" s="8"/>
      <c r="E73" s="8"/>
    </row>
    <row r="74" spans="1:5" x14ac:dyDescent="0.25">
      <c r="A74" s="4" t="s">
        <v>18</v>
      </c>
      <c r="B74" s="3" t="s">
        <v>1</v>
      </c>
      <c r="C74" s="3" t="s">
        <v>2</v>
      </c>
      <c r="D74" s="3" t="s">
        <v>3</v>
      </c>
      <c r="E74" s="6">
        <f>SUM(E75:E82)</f>
        <v>64417.130000000005</v>
      </c>
    </row>
    <row r="75" spans="1:5" x14ac:dyDescent="0.25">
      <c r="A75" s="29" t="s">
        <v>101</v>
      </c>
      <c r="B75" s="32">
        <v>15</v>
      </c>
      <c r="C75" s="32" t="s">
        <v>74</v>
      </c>
      <c r="D75" s="31">
        <f>1861.57/B75</f>
        <v>124.10466666666666</v>
      </c>
      <c r="E75" s="31">
        <f t="shared" ref="E75:E82" si="10">B75*D75</f>
        <v>1861.57</v>
      </c>
    </row>
    <row r="76" spans="1:5" ht="61.5" customHeight="1" x14ac:dyDescent="0.25">
      <c r="A76" s="29" t="s">
        <v>100</v>
      </c>
      <c r="B76" s="32">
        <v>116</v>
      </c>
      <c r="C76" s="32" t="s">
        <v>140</v>
      </c>
      <c r="D76" s="31">
        <f>5444.12/B76</f>
        <v>46.932068965517239</v>
      </c>
      <c r="E76" s="31">
        <f t="shared" si="10"/>
        <v>5444.12</v>
      </c>
    </row>
    <row r="77" spans="1:5" ht="30" x14ac:dyDescent="0.25">
      <c r="A77" s="41" t="s">
        <v>133</v>
      </c>
      <c r="B77" s="42">
        <v>371</v>
      </c>
      <c r="C77" s="42" t="s">
        <v>74</v>
      </c>
      <c r="D77" s="43">
        <v>30</v>
      </c>
      <c r="E77" s="43">
        <f t="shared" si="10"/>
        <v>11130</v>
      </c>
    </row>
    <row r="78" spans="1:5" ht="17.25" customHeight="1" x14ac:dyDescent="0.25">
      <c r="A78" s="41" t="s">
        <v>147</v>
      </c>
      <c r="B78" s="42">
        <v>371</v>
      </c>
      <c r="C78" s="42" t="s">
        <v>74</v>
      </c>
      <c r="D78" s="43">
        <v>30</v>
      </c>
      <c r="E78" s="43">
        <f t="shared" si="10"/>
        <v>11130</v>
      </c>
    </row>
    <row r="79" spans="1:5" x14ac:dyDescent="0.25">
      <c r="A79" s="41" t="s">
        <v>103</v>
      </c>
      <c r="B79" s="42">
        <v>371</v>
      </c>
      <c r="C79" s="42" t="s">
        <v>74</v>
      </c>
      <c r="D79" s="43">
        <v>4</v>
      </c>
      <c r="E79" s="43">
        <f t="shared" si="10"/>
        <v>1484</v>
      </c>
    </row>
    <row r="80" spans="1:5" ht="30" x14ac:dyDescent="0.25">
      <c r="A80" s="41" t="s">
        <v>145</v>
      </c>
      <c r="B80" s="42">
        <v>371</v>
      </c>
      <c r="C80" s="42" t="s">
        <v>74</v>
      </c>
      <c r="D80" s="43">
        <v>24</v>
      </c>
      <c r="E80" s="43">
        <f t="shared" si="10"/>
        <v>8904</v>
      </c>
    </row>
    <row r="81" spans="1:5" ht="30" customHeight="1" x14ac:dyDescent="0.25">
      <c r="A81" s="41" t="s">
        <v>146</v>
      </c>
      <c r="B81" s="42">
        <v>371</v>
      </c>
      <c r="C81" s="42" t="s">
        <v>74</v>
      </c>
      <c r="D81" s="43">
        <v>65.34</v>
      </c>
      <c r="E81" s="43">
        <f t="shared" si="10"/>
        <v>24241.140000000003</v>
      </c>
    </row>
    <row r="82" spans="1:5" ht="16.5" customHeight="1" x14ac:dyDescent="0.25">
      <c r="A82" s="29" t="s">
        <v>104</v>
      </c>
      <c r="B82" s="32">
        <v>15</v>
      </c>
      <c r="C82" s="32" t="s">
        <v>140</v>
      </c>
      <c r="D82" s="31">
        <v>14.82</v>
      </c>
      <c r="E82" s="31">
        <f t="shared" si="10"/>
        <v>222.3</v>
      </c>
    </row>
    <row r="83" spans="1:5" x14ac:dyDescent="0.25">
      <c r="A83" s="5"/>
      <c r="B83" s="11"/>
      <c r="C83" s="11"/>
      <c r="D83" s="8"/>
      <c r="E83" s="8"/>
    </row>
    <row r="84" spans="1:5" x14ac:dyDescent="0.25">
      <c r="A84" s="4" t="s">
        <v>19</v>
      </c>
      <c r="B84" s="3" t="s">
        <v>1</v>
      </c>
      <c r="C84" s="3" t="s">
        <v>2</v>
      </c>
      <c r="D84" s="3" t="s">
        <v>3</v>
      </c>
      <c r="E84" s="6">
        <f>E85</f>
        <v>448.16</v>
      </c>
    </row>
    <row r="85" spans="1:5" ht="20.25" customHeight="1" x14ac:dyDescent="0.25">
      <c r="A85" s="29" t="s">
        <v>195</v>
      </c>
      <c r="B85" s="32">
        <v>1</v>
      </c>
      <c r="C85" s="32"/>
      <c r="D85" s="31">
        <v>448.16</v>
      </c>
      <c r="E85" s="31">
        <f t="shared" ref="E85" si="11">B85*D85</f>
        <v>448.16</v>
      </c>
    </row>
    <row r="86" spans="1:5" x14ac:dyDescent="0.25">
      <c r="A86" s="5"/>
      <c r="B86" s="11"/>
      <c r="C86" s="11"/>
      <c r="D86" s="8"/>
      <c r="E86" s="8"/>
    </row>
    <row r="87" spans="1:5" x14ac:dyDescent="0.25">
      <c r="A87" s="14" t="s">
        <v>20</v>
      </c>
      <c r="B87" s="15"/>
      <c r="C87" s="15"/>
      <c r="D87" s="15"/>
      <c r="E87" s="16">
        <f>E88+E93+E100+E104</f>
        <v>67771.548915401305</v>
      </c>
    </row>
    <row r="88" spans="1:5" x14ac:dyDescent="0.25">
      <c r="A88" s="4" t="s">
        <v>21</v>
      </c>
      <c r="B88" s="3" t="s">
        <v>1</v>
      </c>
      <c r="C88" s="3" t="s">
        <v>2</v>
      </c>
      <c r="D88" s="3" t="s">
        <v>3</v>
      </c>
      <c r="E88" s="6">
        <f>SUM(E89:E91)</f>
        <v>7819.2900000000009</v>
      </c>
    </row>
    <row r="89" spans="1:5" x14ac:dyDescent="0.25">
      <c r="A89" s="29" t="s">
        <v>106</v>
      </c>
      <c r="B89" s="32">
        <v>15</v>
      </c>
      <c r="C89" s="32" t="s">
        <v>140</v>
      </c>
      <c r="D89" s="31">
        <v>65.349999999999994</v>
      </c>
      <c r="E89" s="31">
        <f t="shared" ref="E89:E91" si="12">B89*D89</f>
        <v>980.24999999999989</v>
      </c>
    </row>
    <row r="90" spans="1:5" ht="14.25" customHeight="1" x14ac:dyDescent="0.25">
      <c r="A90" s="29" t="s">
        <v>196</v>
      </c>
      <c r="B90" s="32">
        <v>1.6</v>
      </c>
      <c r="C90" s="32" t="s">
        <v>74</v>
      </c>
      <c r="D90" s="31">
        <v>401.65</v>
      </c>
      <c r="E90" s="31">
        <f t="shared" si="12"/>
        <v>642.64</v>
      </c>
    </row>
    <row r="91" spans="1:5" x14ac:dyDescent="0.25">
      <c r="A91" s="29" t="s">
        <v>105</v>
      </c>
      <c r="B91" s="32">
        <v>28</v>
      </c>
      <c r="C91" s="32" t="s">
        <v>74</v>
      </c>
      <c r="D91" s="31">
        <v>221.3</v>
      </c>
      <c r="E91" s="31">
        <f t="shared" si="12"/>
        <v>6196.4000000000005</v>
      </c>
    </row>
    <row r="92" spans="1:5" x14ac:dyDescent="0.25">
      <c r="A92" s="5"/>
      <c r="B92" s="11"/>
      <c r="C92" s="11"/>
      <c r="D92" s="8"/>
      <c r="E92" s="8"/>
    </row>
    <row r="93" spans="1:5" x14ac:dyDescent="0.25">
      <c r="A93" s="4" t="s">
        <v>22</v>
      </c>
      <c r="B93" s="3" t="s">
        <v>1</v>
      </c>
      <c r="C93" s="3" t="s">
        <v>2</v>
      </c>
      <c r="D93" s="3" t="s">
        <v>3</v>
      </c>
      <c r="E93" s="6">
        <f>SUM(E94:E98)</f>
        <v>21936.5</v>
      </c>
    </row>
    <row r="94" spans="1:5" x14ac:dyDescent="0.25">
      <c r="A94" s="29" t="s">
        <v>107</v>
      </c>
      <c r="B94" s="32">
        <v>1</v>
      </c>
      <c r="C94" s="32" t="s">
        <v>148</v>
      </c>
      <c r="D94" s="31">
        <v>1500</v>
      </c>
      <c r="E94" s="31">
        <f t="shared" ref="E94:E98" si="13">B94*D94</f>
        <v>1500</v>
      </c>
    </row>
    <row r="95" spans="1:5" x14ac:dyDescent="0.25">
      <c r="A95" s="29" t="s">
        <v>149</v>
      </c>
      <c r="B95" s="32">
        <v>1</v>
      </c>
      <c r="C95" s="32" t="s">
        <v>72</v>
      </c>
      <c r="D95" s="31">
        <v>821.5</v>
      </c>
      <c r="E95" s="31">
        <f t="shared" si="13"/>
        <v>821.5</v>
      </c>
    </row>
    <row r="96" spans="1:5" ht="45" x14ac:dyDescent="0.25">
      <c r="A96" s="29" t="s">
        <v>152</v>
      </c>
      <c r="B96" s="32">
        <v>2</v>
      </c>
      <c r="C96" s="32" t="s">
        <v>72</v>
      </c>
      <c r="D96" s="50">
        <f>5668/B96</f>
        <v>2834</v>
      </c>
      <c r="E96" s="31">
        <f t="shared" si="13"/>
        <v>5668</v>
      </c>
    </row>
    <row r="97" spans="1:5" ht="30" x14ac:dyDescent="0.25">
      <c r="A97" s="29" t="s">
        <v>150</v>
      </c>
      <c r="B97" s="32">
        <v>1</v>
      </c>
      <c r="C97" s="32" t="s">
        <v>72</v>
      </c>
      <c r="D97" s="50">
        <v>2599</v>
      </c>
      <c r="E97" s="31">
        <f t="shared" si="13"/>
        <v>2599</v>
      </c>
    </row>
    <row r="98" spans="1:5" ht="30" x14ac:dyDescent="0.25">
      <c r="A98" s="29" t="s">
        <v>151</v>
      </c>
      <c r="B98" s="32">
        <v>2</v>
      </c>
      <c r="C98" s="32" t="s">
        <v>72</v>
      </c>
      <c r="D98" s="50">
        <v>5674</v>
      </c>
      <c r="E98" s="31">
        <f t="shared" si="13"/>
        <v>11348</v>
      </c>
    </row>
    <row r="99" spans="1:5" x14ac:dyDescent="0.25">
      <c r="A99" s="5"/>
      <c r="B99" s="11"/>
      <c r="C99" s="11"/>
      <c r="D99" s="8"/>
      <c r="E99" s="8"/>
    </row>
    <row r="100" spans="1:5" x14ac:dyDescent="0.25">
      <c r="A100" s="4" t="s">
        <v>24</v>
      </c>
      <c r="B100" s="3" t="s">
        <v>1</v>
      </c>
      <c r="C100" s="3" t="s">
        <v>2</v>
      </c>
      <c r="D100" s="3" t="s">
        <v>3</v>
      </c>
      <c r="E100" s="6">
        <f>SUM(E101:E102)</f>
        <v>1599.58</v>
      </c>
    </row>
    <row r="101" spans="1:5" ht="30" x14ac:dyDescent="0.25">
      <c r="A101" s="29" t="s">
        <v>108</v>
      </c>
      <c r="B101" s="32">
        <v>22</v>
      </c>
      <c r="C101" s="32" t="s">
        <v>140</v>
      </c>
      <c r="D101" s="31">
        <v>25.14</v>
      </c>
      <c r="E101" s="31">
        <f t="shared" ref="E101:E102" si="14">B101*D101</f>
        <v>553.08000000000004</v>
      </c>
    </row>
    <row r="102" spans="1:5" x14ac:dyDescent="0.25">
      <c r="A102" s="41" t="s">
        <v>109</v>
      </c>
      <c r="B102" s="42">
        <v>9.1</v>
      </c>
      <c r="C102" s="42" t="s">
        <v>140</v>
      </c>
      <c r="D102" s="43">
        <v>115</v>
      </c>
      <c r="E102" s="43">
        <f t="shared" si="14"/>
        <v>1046.5</v>
      </c>
    </row>
    <row r="103" spans="1:5" x14ac:dyDescent="0.25">
      <c r="A103" s="5"/>
      <c r="B103" s="11"/>
      <c r="C103" s="11"/>
      <c r="D103" s="8"/>
      <c r="E103" s="8"/>
    </row>
    <row r="104" spans="1:5" x14ac:dyDescent="0.25">
      <c r="A104" s="4" t="s">
        <v>25</v>
      </c>
      <c r="B104" s="3" t="s">
        <v>1</v>
      </c>
      <c r="C104" s="3" t="s">
        <v>2</v>
      </c>
      <c r="D104" s="3" t="s">
        <v>3</v>
      </c>
      <c r="E104" s="6">
        <f>SUM(E105:E114)</f>
        <v>36416.178915401295</v>
      </c>
    </row>
    <row r="105" spans="1:5" ht="30" x14ac:dyDescent="0.25">
      <c r="A105" s="79" t="s">
        <v>93</v>
      </c>
      <c r="B105" s="80">
        <v>451</v>
      </c>
      <c r="C105" s="80" t="s">
        <v>74</v>
      </c>
      <c r="D105" s="31">
        <f>D27</f>
        <v>15.130108459869847</v>
      </c>
      <c r="E105" s="31">
        <f t="shared" ref="E105:E114" si="15">B105*D105</f>
        <v>6823.6789154013013</v>
      </c>
    </row>
    <row r="106" spans="1:5" x14ac:dyDescent="0.25">
      <c r="A106" s="29" t="s">
        <v>197</v>
      </c>
      <c r="B106" s="32">
        <v>471</v>
      </c>
      <c r="C106" s="32" t="s">
        <v>74</v>
      </c>
      <c r="D106" s="31">
        <f>1203.72/B106</f>
        <v>2.5556687898089172</v>
      </c>
      <c r="E106" s="31">
        <f t="shared" si="15"/>
        <v>1203.72</v>
      </c>
    </row>
    <row r="107" spans="1:5" x14ac:dyDescent="0.25">
      <c r="A107" s="29" t="s">
        <v>110</v>
      </c>
      <c r="B107" s="32">
        <v>471</v>
      </c>
      <c r="C107" s="32" t="s">
        <v>74</v>
      </c>
      <c r="D107" s="31">
        <v>1.5</v>
      </c>
      <c r="E107" s="31">
        <f t="shared" si="15"/>
        <v>706.5</v>
      </c>
    </row>
    <row r="108" spans="1:5" x14ac:dyDescent="0.25">
      <c r="A108" s="29" t="s">
        <v>111</v>
      </c>
      <c r="B108" s="32">
        <v>471</v>
      </c>
      <c r="C108" s="32" t="s">
        <v>74</v>
      </c>
      <c r="D108" s="31">
        <f>4.86-D107</f>
        <v>3.3600000000000003</v>
      </c>
      <c r="E108" s="31">
        <f t="shared" si="15"/>
        <v>1582.5600000000002</v>
      </c>
    </row>
    <row r="109" spans="1:5" ht="30" x14ac:dyDescent="0.25">
      <c r="A109" s="29" t="s">
        <v>112</v>
      </c>
      <c r="B109" s="32">
        <v>471</v>
      </c>
      <c r="C109" s="32" t="s">
        <v>74</v>
      </c>
      <c r="D109" s="31">
        <v>8.9700000000000006</v>
      </c>
      <c r="E109" s="31">
        <f t="shared" si="15"/>
        <v>4224.87</v>
      </c>
    </row>
    <row r="110" spans="1:5" x14ac:dyDescent="0.25">
      <c r="A110" s="29" t="s">
        <v>113</v>
      </c>
      <c r="B110" s="32">
        <v>471</v>
      </c>
      <c r="C110" s="32" t="s">
        <v>74</v>
      </c>
      <c r="D110" s="31">
        <f>6968.69/B110</f>
        <v>14.795520169851379</v>
      </c>
      <c r="E110" s="31">
        <f t="shared" si="15"/>
        <v>6968.69</v>
      </c>
    </row>
    <row r="111" spans="1:5" ht="16.5" customHeight="1" x14ac:dyDescent="0.25">
      <c r="A111" s="29" t="s">
        <v>114</v>
      </c>
      <c r="B111" s="32">
        <v>205</v>
      </c>
      <c r="C111" s="32" t="s">
        <v>139</v>
      </c>
      <c r="D111" s="31">
        <v>36.5</v>
      </c>
      <c r="E111" s="31">
        <f t="shared" si="15"/>
        <v>7482.5</v>
      </c>
    </row>
    <row r="112" spans="1:5" ht="29.25" customHeight="1" x14ac:dyDescent="0.25">
      <c r="A112" s="29" t="s">
        <v>115</v>
      </c>
      <c r="B112" s="32">
        <v>54</v>
      </c>
      <c r="C112" s="32" t="s">
        <v>74</v>
      </c>
      <c r="D112" s="31">
        <v>30.18</v>
      </c>
      <c r="E112" s="31">
        <f t="shared" si="15"/>
        <v>1629.72</v>
      </c>
    </row>
    <row r="113" spans="1:5" ht="30" x14ac:dyDescent="0.25">
      <c r="A113" s="29" t="s">
        <v>116</v>
      </c>
      <c r="B113" s="32">
        <v>64</v>
      </c>
      <c r="C113" s="32" t="s">
        <v>74</v>
      </c>
      <c r="D113" s="31">
        <f>3093.03/B113</f>
        <v>48.328593750000003</v>
      </c>
      <c r="E113" s="31">
        <f t="shared" si="15"/>
        <v>3093.03</v>
      </c>
    </row>
    <row r="114" spans="1:5" x14ac:dyDescent="0.25">
      <c r="A114" s="29" t="s">
        <v>117</v>
      </c>
      <c r="B114" s="32">
        <v>98</v>
      </c>
      <c r="C114" s="32" t="s">
        <v>140</v>
      </c>
      <c r="D114" s="31">
        <f>2700.91/B114</f>
        <v>27.560306122448978</v>
      </c>
      <c r="E114" s="31">
        <f t="shared" si="15"/>
        <v>2700.91</v>
      </c>
    </row>
    <row r="115" spans="1:5" x14ac:dyDescent="0.25">
      <c r="A115" s="5"/>
      <c r="B115" s="11"/>
      <c r="C115" s="11"/>
      <c r="D115" s="8"/>
      <c r="E115" s="8"/>
    </row>
    <row r="116" spans="1:5" x14ac:dyDescent="0.25">
      <c r="A116" s="14" t="s">
        <v>26</v>
      </c>
      <c r="B116" s="15"/>
      <c r="C116" s="15"/>
      <c r="D116" s="15"/>
      <c r="E116" s="16">
        <f>E117+E121+E133+E144+E151+E155</f>
        <v>54734.529999999992</v>
      </c>
    </row>
    <row r="117" spans="1:5" x14ac:dyDescent="0.25">
      <c r="A117" s="4" t="s">
        <v>27</v>
      </c>
      <c r="B117" s="3" t="s">
        <v>1</v>
      </c>
      <c r="C117" s="3" t="s">
        <v>2</v>
      </c>
      <c r="D117" s="3" t="s">
        <v>3</v>
      </c>
      <c r="E117" s="6">
        <f>SUM(E118:E119)</f>
        <v>10494.09</v>
      </c>
    </row>
    <row r="118" spans="1:5" x14ac:dyDescent="0.25">
      <c r="A118" s="41" t="s">
        <v>28</v>
      </c>
      <c r="B118" s="42">
        <v>56</v>
      </c>
      <c r="C118" s="42" t="s">
        <v>74</v>
      </c>
      <c r="D118" s="43">
        <f>2896.5/B118</f>
        <v>51.723214285714285</v>
      </c>
      <c r="E118" s="43">
        <f t="shared" ref="E118:E119" si="16">B118*D118</f>
        <v>2896.5</v>
      </c>
    </row>
    <row r="119" spans="1:5" x14ac:dyDescent="0.25">
      <c r="A119" s="29" t="s">
        <v>118</v>
      </c>
      <c r="B119" s="32">
        <v>10.4</v>
      </c>
      <c r="C119" s="32" t="s">
        <v>74</v>
      </c>
      <c r="D119" s="31">
        <f>7597.59/B119</f>
        <v>730.53750000000002</v>
      </c>
      <c r="E119" s="31">
        <f t="shared" si="16"/>
        <v>7597.59</v>
      </c>
    </row>
    <row r="120" spans="1:5" x14ac:dyDescent="0.25">
      <c r="A120" s="5"/>
      <c r="B120" s="11"/>
      <c r="C120" s="11"/>
      <c r="D120" s="8"/>
      <c r="E120" s="8"/>
    </row>
    <row r="121" spans="1:5" x14ac:dyDescent="0.25">
      <c r="A121" s="4" t="s">
        <v>29</v>
      </c>
      <c r="B121" s="3" t="s">
        <v>1</v>
      </c>
      <c r="C121" s="3" t="s">
        <v>2</v>
      </c>
      <c r="D121" s="3" t="s">
        <v>3</v>
      </c>
      <c r="E121" s="6">
        <f>SUM(E122:E131)</f>
        <v>6932.83</v>
      </c>
    </row>
    <row r="122" spans="1:5" x14ac:dyDescent="0.25">
      <c r="A122" s="29" t="s">
        <v>155</v>
      </c>
      <c r="B122" s="77">
        <v>1</v>
      </c>
      <c r="C122" s="32" t="s">
        <v>72</v>
      </c>
      <c r="D122" s="31">
        <v>940.2</v>
      </c>
      <c r="E122" s="31">
        <f t="shared" ref="E122:E131" si="17">B122*D122</f>
        <v>940.2</v>
      </c>
    </row>
    <row r="123" spans="1:5" x14ac:dyDescent="0.25">
      <c r="A123" s="29" t="s">
        <v>153</v>
      </c>
      <c r="B123" s="77">
        <v>1</v>
      </c>
      <c r="C123" s="32" t="s">
        <v>72</v>
      </c>
      <c r="D123" s="31">
        <v>489.65</v>
      </c>
      <c r="E123" s="31">
        <f t="shared" si="17"/>
        <v>489.65</v>
      </c>
    </row>
    <row r="124" spans="1:5" x14ac:dyDescent="0.25">
      <c r="A124" s="29" t="s">
        <v>156</v>
      </c>
      <c r="B124" s="77">
        <v>1</v>
      </c>
      <c r="C124" s="32" t="s">
        <v>72</v>
      </c>
      <c r="D124" s="31">
        <v>873.78</v>
      </c>
      <c r="E124" s="31">
        <f t="shared" si="17"/>
        <v>873.78</v>
      </c>
    </row>
    <row r="125" spans="1:5" x14ac:dyDescent="0.25">
      <c r="A125" s="29" t="s">
        <v>154</v>
      </c>
      <c r="B125" s="77">
        <v>1</v>
      </c>
      <c r="C125" s="32" t="s">
        <v>72</v>
      </c>
      <c r="D125" s="31">
        <v>445.55</v>
      </c>
      <c r="E125" s="31">
        <f t="shared" si="17"/>
        <v>445.55</v>
      </c>
    </row>
    <row r="126" spans="1:5" x14ac:dyDescent="0.25">
      <c r="A126" s="44" t="s">
        <v>157</v>
      </c>
      <c r="B126" s="78">
        <v>1</v>
      </c>
      <c r="C126" s="46" t="s">
        <v>72</v>
      </c>
      <c r="D126" s="45">
        <v>420.45</v>
      </c>
      <c r="E126" s="45">
        <f t="shared" si="17"/>
        <v>420.45</v>
      </c>
    </row>
    <row r="127" spans="1:5" x14ac:dyDescent="0.25">
      <c r="A127" s="44" t="s">
        <v>158</v>
      </c>
      <c r="B127" s="78">
        <v>1</v>
      </c>
      <c r="C127" s="46" t="s">
        <v>72</v>
      </c>
      <c r="D127" s="45">
        <v>436.2</v>
      </c>
      <c r="E127" s="45">
        <f t="shared" si="17"/>
        <v>436.2</v>
      </c>
    </row>
    <row r="128" spans="1:5" x14ac:dyDescent="0.25">
      <c r="A128" s="44" t="s">
        <v>159</v>
      </c>
      <c r="B128" s="78">
        <v>1</v>
      </c>
      <c r="C128" s="46" t="s">
        <v>72</v>
      </c>
      <c r="D128" s="45">
        <v>477.15</v>
      </c>
      <c r="E128" s="45">
        <f t="shared" si="17"/>
        <v>477.15</v>
      </c>
    </row>
    <row r="129" spans="1:5" x14ac:dyDescent="0.25">
      <c r="A129" s="44" t="s">
        <v>160</v>
      </c>
      <c r="B129" s="78">
        <v>1</v>
      </c>
      <c r="C129" s="46" t="s">
        <v>72</v>
      </c>
      <c r="D129" s="45">
        <v>449.85</v>
      </c>
      <c r="E129" s="45">
        <f t="shared" si="17"/>
        <v>449.85</v>
      </c>
    </row>
    <row r="130" spans="1:5" x14ac:dyDescent="0.25">
      <c r="A130" s="29" t="s">
        <v>23</v>
      </c>
      <c r="B130" s="77">
        <v>1</v>
      </c>
      <c r="C130" s="32" t="s">
        <v>72</v>
      </c>
      <c r="D130" s="31">
        <f>2400-D131</f>
        <v>2000</v>
      </c>
      <c r="E130" s="31">
        <f t="shared" si="17"/>
        <v>2000</v>
      </c>
    </row>
    <row r="131" spans="1:5" x14ac:dyDescent="0.25">
      <c r="A131" s="29" t="s">
        <v>30</v>
      </c>
      <c r="B131" s="77">
        <v>1</v>
      </c>
      <c r="C131" s="32" t="s">
        <v>148</v>
      </c>
      <c r="D131" s="31">
        <v>400</v>
      </c>
      <c r="E131" s="31">
        <f t="shared" si="17"/>
        <v>400</v>
      </c>
    </row>
    <row r="132" spans="1:5" x14ac:dyDescent="0.25">
      <c r="A132" s="5"/>
      <c r="B132" s="11"/>
      <c r="C132" s="11"/>
      <c r="D132" s="8"/>
      <c r="E132" s="8"/>
    </row>
    <row r="133" spans="1:5" x14ac:dyDescent="0.25">
      <c r="A133" s="4" t="s">
        <v>32</v>
      </c>
      <c r="B133" s="3" t="s">
        <v>1</v>
      </c>
      <c r="C133" s="3" t="s">
        <v>2</v>
      </c>
      <c r="D133" s="3" t="s">
        <v>3</v>
      </c>
      <c r="E133" s="6">
        <f>SUM(E134:E142)</f>
        <v>18596.84</v>
      </c>
    </row>
    <row r="134" spans="1:5" ht="30" x14ac:dyDescent="0.25">
      <c r="A134" s="44" t="s">
        <v>119</v>
      </c>
      <c r="B134" s="46">
        <v>334</v>
      </c>
      <c r="C134" s="46" t="s">
        <v>74</v>
      </c>
      <c r="D134" s="45">
        <v>2.3199999999999998</v>
      </c>
      <c r="E134" s="45">
        <f t="shared" ref="E134:E142" si="18">B134*D134</f>
        <v>774.88</v>
      </c>
    </row>
    <row r="135" spans="1:5" ht="30.75" customHeight="1" x14ac:dyDescent="0.25">
      <c r="A135" s="44" t="s">
        <v>120</v>
      </c>
      <c r="B135" s="46">
        <v>334</v>
      </c>
      <c r="C135" s="46" t="s">
        <v>74</v>
      </c>
      <c r="D135" s="45">
        <v>13.69</v>
      </c>
      <c r="E135" s="45">
        <f t="shared" si="18"/>
        <v>4572.46</v>
      </c>
    </row>
    <row r="136" spans="1:5" ht="30.75" customHeight="1" x14ac:dyDescent="0.25">
      <c r="A136" s="44" t="s">
        <v>162</v>
      </c>
      <c r="B136" s="46">
        <v>383</v>
      </c>
      <c r="C136" s="46" t="s">
        <v>74</v>
      </c>
      <c r="D136" s="45">
        <v>2.3199999999999998</v>
      </c>
      <c r="E136" s="45">
        <f t="shared" si="18"/>
        <v>888.56</v>
      </c>
    </row>
    <row r="137" spans="1:5" ht="30.75" customHeight="1" x14ac:dyDescent="0.25">
      <c r="A137" s="44" t="s">
        <v>163</v>
      </c>
      <c r="B137" s="46">
        <v>383</v>
      </c>
      <c r="C137" s="46" t="s">
        <v>74</v>
      </c>
      <c r="D137" s="45">
        <v>13.69</v>
      </c>
      <c r="E137" s="45">
        <f t="shared" si="18"/>
        <v>5243.2699999999995</v>
      </c>
    </row>
    <row r="138" spans="1:5" x14ac:dyDescent="0.25">
      <c r="A138" s="44" t="s">
        <v>121</v>
      </c>
      <c r="B138" s="46">
        <v>68</v>
      </c>
      <c r="C138" s="46" t="s">
        <v>74</v>
      </c>
      <c r="D138" s="45">
        <v>10.35</v>
      </c>
      <c r="E138" s="45">
        <f t="shared" si="18"/>
        <v>703.8</v>
      </c>
    </row>
    <row r="139" spans="1:5" ht="19.5" customHeight="1" x14ac:dyDescent="0.25">
      <c r="A139" s="44" t="s">
        <v>122</v>
      </c>
      <c r="B139" s="46">
        <v>68</v>
      </c>
      <c r="C139" s="46" t="s">
        <v>74</v>
      </c>
      <c r="D139" s="45">
        <v>12.45</v>
      </c>
      <c r="E139" s="45">
        <f t="shared" si="18"/>
        <v>846.59999999999991</v>
      </c>
    </row>
    <row r="140" spans="1:5" ht="18" customHeight="1" x14ac:dyDescent="0.25">
      <c r="A140" s="44" t="s">
        <v>123</v>
      </c>
      <c r="B140" s="46">
        <v>51</v>
      </c>
      <c r="C140" s="46" t="s">
        <v>74</v>
      </c>
      <c r="D140" s="45">
        <v>25.57</v>
      </c>
      <c r="E140" s="45">
        <f t="shared" si="18"/>
        <v>1304.07</v>
      </c>
    </row>
    <row r="141" spans="1:5" ht="30" x14ac:dyDescent="0.25">
      <c r="A141" s="44" t="s">
        <v>161</v>
      </c>
      <c r="B141" s="46">
        <v>22</v>
      </c>
      <c r="C141" s="46" t="s">
        <v>74</v>
      </c>
      <c r="D141" s="45">
        <v>175</v>
      </c>
      <c r="E141" s="45">
        <f t="shared" si="18"/>
        <v>3850</v>
      </c>
    </row>
    <row r="142" spans="1:5" x14ac:dyDescent="0.25">
      <c r="A142" s="44" t="s">
        <v>124</v>
      </c>
      <c r="B142" s="46">
        <v>40</v>
      </c>
      <c r="C142" s="46" t="s">
        <v>74</v>
      </c>
      <c r="D142" s="45">
        <v>10.33</v>
      </c>
      <c r="E142" s="45">
        <f t="shared" si="18"/>
        <v>413.2</v>
      </c>
    </row>
    <row r="143" spans="1:5" x14ac:dyDescent="0.25">
      <c r="A143" s="5"/>
      <c r="B143" s="11"/>
      <c r="C143" s="11"/>
      <c r="D143" s="8"/>
      <c r="E143" s="8"/>
    </row>
    <row r="144" spans="1:5" x14ac:dyDescent="0.25">
      <c r="A144" s="4" t="s">
        <v>31</v>
      </c>
      <c r="B144" s="3"/>
      <c r="C144" s="3"/>
      <c r="D144" s="3"/>
      <c r="E144" s="6">
        <f>SUM(E145:E149)</f>
        <v>11504.06</v>
      </c>
    </row>
    <row r="145" spans="1:5" ht="30" x14ac:dyDescent="0.25">
      <c r="A145" s="44" t="s">
        <v>125</v>
      </c>
      <c r="B145" s="46">
        <v>532</v>
      </c>
      <c r="C145" s="46" t="s">
        <v>74</v>
      </c>
      <c r="D145" s="45">
        <v>2.7</v>
      </c>
      <c r="E145" s="45">
        <f t="shared" ref="E145:E149" si="19">B145*D145</f>
        <v>1436.4</v>
      </c>
    </row>
    <row r="146" spans="1:5" x14ac:dyDescent="0.25">
      <c r="A146" s="44" t="s">
        <v>126</v>
      </c>
      <c r="B146" s="46">
        <v>494</v>
      </c>
      <c r="C146" s="46" t="s">
        <v>74</v>
      </c>
      <c r="D146" s="45">
        <v>2.16</v>
      </c>
      <c r="E146" s="45">
        <f t="shared" si="19"/>
        <v>1067.04</v>
      </c>
    </row>
    <row r="147" spans="1:5" x14ac:dyDescent="0.25">
      <c r="A147" s="44" t="s">
        <v>127</v>
      </c>
      <c r="B147" s="46">
        <v>494</v>
      </c>
      <c r="C147" s="46" t="s">
        <v>74</v>
      </c>
      <c r="D147" s="45">
        <v>13.45</v>
      </c>
      <c r="E147" s="45">
        <f t="shared" si="19"/>
        <v>6644.2999999999993</v>
      </c>
    </row>
    <row r="148" spans="1:5" x14ac:dyDescent="0.25">
      <c r="A148" s="44" t="s">
        <v>128</v>
      </c>
      <c r="B148" s="46">
        <v>32</v>
      </c>
      <c r="C148" s="46" t="s">
        <v>74</v>
      </c>
      <c r="D148" s="45">
        <v>26.76</v>
      </c>
      <c r="E148" s="45">
        <f t="shared" si="19"/>
        <v>856.32</v>
      </c>
    </row>
    <row r="149" spans="1:5" ht="30" x14ac:dyDescent="0.25">
      <c r="A149" s="44" t="s">
        <v>129</v>
      </c>
      <c r="B149" s="46">
        <v>6</v>
      </c>
      <c r="C149" s="46" t="s">
        <v>74</v>
      </c>
      <c r="D149" s="45">
        <v>250</v>
      </c>
      <c r="E149" s="45">
        <f t="shared" si="19"/>
        <v>1500</v>
      </c>
    </row>
    <row r="150" spans="1:5" x14ac:dyDescent="0.25">
      <c r="A150" s="5"/>
      <c r="B150" s="11"/>
      <c r="C150" s="11"/>
      <c r="D150" s="8"/>
      <c r="E150" s="8"/>
    </row>
    <row r="151" spans="1:5" x14ac:dyDescent="0.25">
      <c r="A151" s="4" t="s">
        <v>33</v>
      </c>
      <c r="B151" s="3" t="s">
        <v>1</v>
      </c>
      <c r="C151" s="3" t="s">
        <v>2</v>
      </c>
      <c r="D151" s="3" t="s">
        <v>3</v>
      </c>
      <c r="E151" s="6">
        <f>SUM(E152:E153)</f>
        <v>1601.2800000000002</v>
      </c>
    </row>
    <row r="152" spans="1:5" ht="30" x14ac:dyDescent="0.25">
      <c r="A152" s="41" t="s">
        <v>130</v>
      </c>
      <c r="B152" s="42">
        <v>16</v>
      </c>
      <c r="C152" s="42" t="s">
        <v>74</v>
      </c>
      <c r="D152" s="43">
        <v>42.06</v>
      </c>
      <c r="E152" s="43">
        <f t="shared" ref="E152:E153" si="20">B152*D152</f>
        <v>672.96</v>
      </c>
    </row>
    <row r="153" spans="1:5" x14ac:dyDescent="0.25">
      <c r="A153" s="41" t="s">
        <v>34</v>
      </c>
      <c r="B153" s="42">
        <v>16</v>
      </c>
      <c r="C153" s="42" t="s">
        <v>74</v>
      </c>
      <c r="D153" s="43">
        <v>58.02</v>
      </c>
      <c r="E153" s="43">
        <f t="shared" si="20"/>
        <v>928.32</v>
      </c>
    </row>
    <row r="154" spans="1:5" x14ac:dyDescent="0.25">
      <c r="A154" s="5"/>
      <c r="B154" s="11"/>
      <c r="C154" s="11"/>
      <c r="D154" s="8"/>
      <c r="E154" s="8"/>
    </row>
    <row r="155" spans="1:5" x14ac:dyDescent="0.25">
      <c r="A155" s="4" t="s">
        <v>35</v>
      </c>
      <c r="B155" s="3" t="s">
        <v>1</v>
      </c>
      <c r="C155" s="3" t="s">
        <v>2</v>
      </c>
      <c r="D155" s="3" t="s">
        <v>3</v>
      </c>
      <c r="E155" s="6">
        <f>SUM(E156:E159)</f>
        <v>5605.43</v>
      </c>
    </row>
    <row r="156" spans="1:5" ht="19.5" customHeight="1" x14ac:dyDescent="0.25">
      <c r="A156" s="44" t="s">
        <v>131</v>
      </c>
      <c r="B156" s="46">
        <v>17</v>
      </c>
      <c r="C156" s="46" t="s">
        <v>74</v>
      </c>
      <c r="D156" s="45">
        <v>26.72</v>
      </c>
      <c r="E156" s="45">
        <f t="shared" ref="E156:E159" si="21">B156*D156</f>
        <v>454.24</v>
      </c>
    </row>
    <row r="157" spans="1:5" x14ac:dyDescent="0.25">
      <c r="A157" s="44" t="s">
        <v>132</v>
      </c>
      <c r="B157" s="46">
        <v>17</v>
      </c>
      <c r="C157" s="46" t="s">
        <v>74</v>
      </c>
      <c r="D157" s="45">
        <v>13.38</v>
      </c>
      <c r="E157" s="45">
        <f t="shared" si="21"/>
        <v>227.46</v>
      </c>
    </row>
    <row r="158" spans="1:5" ht="16.5" customHeight="1" x14ac:dyDescent="0.25">
      <c r="A158" s="44" t="s">
        <v>134</v>
      </c>
      <c r="B158" s="46">
        <v>385</v>
      </c>
      <c r="C158" s="46" t="s">
        <v>74</v>
      </c>
      <c r="D158" s="45">
        <v>3.79</v>
      </c>
      <c r="E158" s="45">
        <f t="shared" si="21"/>
        <v>1459.15</v>
      </c>
    </row>
    <row r="159" spans="1:5" x14ac:dyDescent="0.25">
      <c r="A159" s="44" t="s">
        <v>164</v>
      </c>
      <c r="B159" s="46">
        <v>25</v>
      </c>
      <c r="C159" s="46" t="s">
        <v>74</v>
      </c>
      <c r="D159" s="45">
        <f>3464.58/B159</f>
        <v>138.58320000000001</v>
      </c>
      <c r="E159" s="45">
        <f t="shared" si="21"/>
        <v>3464.58</v>
      </c>
    </row>
    <row r="160" spans="1:5" ht="15.75" thickBot="1" x14ac:dyDescent="0.3">
      <c r="A160" s="5"/>
      <c r="B160" s="11"/>
      <c r="C160" s="11"/>
      <c r="D160" s="8"/>
      <c r="E160" s="12"/>
    </row>
    <row r="161" spans="1:5" ht="15.75" thickBot="1" x14ac:dyDescent="0.3">
      <c r="A161" s="14" t="s">
        <v>36</v>
      </c>
      <c r="B161" s="15"/>
      <c r="C161" s="15"/>
      <c r="D161" s="17"/>
      <c r="E161" s="26">
        <f>E162+E169+E178+E181+E189</f>
        <v>104088.17</v>
      </c>
    </row>
    <row r="162" spans="1:5" x14ac:dyDescent="0.25">
      <c r="A162" s="4" t="s">
        <v>37</v>
      </c>
      <c r="B162" s="3" t="s">
        <v>1</v>
      </c>
      <c r="C162" s="3" t="s">
        <v>2</v>
      </c>
      <c r="D162" s="3" t="s">
        <v>3</v>
      </c>
      <c r="E162" s="13">
        <f>SUM(E163:E167)</f>
        <v>15016.67</v>
      </c>
    </row>
    <row r="163" spans="1:5" x14ac:dyDescent="0.25">
      <c r="A163" s="29" t="s">
        <v>38</v>
      </c>
      <c r="B163" s="32">
        <v>1</v>
      </c>
      <c r="C163" s="32" t="s">
        <v>148</v>
      </c>
      <c r="D163" s="31">
        <f>5850-1100-D167</f>
        <v>4520</v>
      </c>
      <c r="E163" s="31">
        <f t="shared" ref="E163:E167" si="22">B163*D163</f>
        <v>4520</v>
      </c>
    </row>
    <row r="164" spans="1:5" x14ac:dyDescent="0.25">
      <c r="A164" s="29" t="s">
        <v>39</v>
      </c>
      <c r="B164" s="32">
        <v>1</v>
      </c>
      <c r="C164" s="32" t="s">
        <v>148</v>
      </c>
      <c r="D164" s="31">
        <f>5500-1100</f>
        <v>4400</v>
      </c>
      <c r="E164" s="31">
        <f t="shared" si="22"/>
        <v>4400</v>
      </c>
    </row>
    <row r="165" spans="1:5" x14ac:dyDescent="0.25">
      <c r="A165" s="29" t="s">
        <v>40</v>
      </c>
      <c r="B165" s="32">
        <v>1</v>
      </c>
      <c r="C165" s="32" t="s">
        <v>148</v>
      </c>
      <c r="D165" s="31">
        <v>2200</v>
      </c>
      <c r="E165" s="31">
        <f t="shared" si="22"/>
        <v>2200</v>
      </c>
    </row>
    <row r="166" spans="1:5" x14ac:dyDescent="0.25">
      <c r="A166" s="29" t="s">
        <v>191</v>
      </c>
      <c r="B166" s="32">
        <v>31</v>
      </c>
      <c r="C166" s="32" t="s">
        <v>140</v>
      </c>
      <c r="D166" s="31">
        <f>3666.67/B166</f>
        <v>118.27967741935484</v>
      </c>
      <c r="E166" s="31">
        <f t="shared" si="22"/>
        <v>3666.67</v>
      </c>
    </row>
    <row r="167" spans="1:5" x14ac:dyDescent="0.25">
      <c r="A167" s="29" t="s">
        <v>41</v>
      </c>
      <c r="B167" s="32">
        <v>1</v>
      </c>
      <c r="C167" s="32" t="s">
        <v>148</v>
      </c>
      <c r="D167" s="31">
        <v>230</v>
      </c>
      <c r="E167" s="31">
        <f t="shared" si="22"/>
        <v>230</v>
      </c>
    </row>
    <row r="168" spans="1:5" x14ac:dyDescent="0.25">
      <c r="A168" s="5"/>
      <c r="B168" s="11"/>
      <c r="C168" s="11"/>
      <c r="D168" s="8"/>
      <c r="E168" s="8"/>
    </row>
    <row r="169" spans="1:5" x14ac:dyDescent="0.25">
      <c r="A169" s="4" t="s">
        <v>42</v>
      </c>
      <c r="B169" s="3" t="s">
        <v>1</v>
      </c>
      <c r="C169" s="3" t="s">
        <v>2</v>
      </c>
      <c r="D169" s="3" t="s">
        <v>3</v>
      </c>
      <c r="E169" s="6">
        <f>SUM(E170:E176)</f>
        <v>64100</v>
      </c>
    </row>
    <row r="170" spans="1:5" x14ac:dyDescent="0.25">
      <c r="A170" s="29" t="s">
        <v>43</v>
      </c>
      <c r="B170" s="32">
        <v>1</v>
      </c>
      <c r="C170" s="32" t="s">
        <v>148</v>
      </c>
      <c r="D170" s="31">
        <v>8400</v>
      </c>
      <c r="E170" s="31">
        <f t="shared" ref="E170:E176" si="23">B170*D170</f>
        <v>8400</v>
      </c>
    </row>
    <row r="171" spans="1:5" x14ac:dyDescent="0.25">
      <c r="A171" s="29" t="s">
        <v>165</v>
      </c>
      <c r="B171" s="32">
        <v>235</v>
      </c>
      <c r="C171" s="32" t="s">
        <v>74</v>
      </c>
      <c r="D171" s="31">
        <f>4700/B171</f>
        <v>20</v>
      </c>
      <c r="E171" s="31">
        <f t="shared" si="23"/>
        <v>4700</v>
      </c>
    </row>
    <row r="172" spans="1:5" x14ac:dyDescent="0.25">
      <c r="A172" s="29" t="s">
        <v>135</v>
      </c>
      <c r="B172" s="32">
        <v>1</v>
      </c>
      <c r="C172" s="32" t="s">
        <v>148</v>
      </c>
      <c r="D172" s="31">
        <v>9000</v>
      </c>
      <c r="E172" s="31">
        <f t="shared" si="23"/>
        <v>9000</v>
      </c>
    </row>
    <row r="173" spans="1:5" ht="30" x14ac:dyDescent="0.25">
      <c r="A173" s="29" t="s">
        <v>180</v>
      </c>
      <c r="B173" s="32">
        <v>1</v>
      </c>
      <c r="C173" s="32" t="s">
        <v>148</v>
      </c>
      <c r="D173" s="31">
        <v>15000</v>
      </c>
      <c r="E173" s="31">
        <f t="shared" si="23"/>
        <v>15000</v>
      </c>
    </row>
    <row r="174" spans="1:5" ht="30" x14ac:dyDescent="0.25">
      <c r="A174" s="41" t="s">
        <v>179</v>
      </c>
      <c r="B174" s="42">
        <v>1</v>
      </c>
      <c r="C174" s="42" t="s">
        <v>148</v>
      </c>
      <c r="D174" s="43">
        <v>9000</v>
      </c>
      <c r="E174" s="43">
        <f t="shared" si="23"/>
        <v>9000</v>
      </c>
    </row>
    <row r="175" spans="1:5" x14ac:dyDescent="0.25">
      <c r="A175" s="41" t="s">
        <v>44</v>
      </c>
      <c r="B175" s="42">
        <v>1</v>
      </c>
      <c r="C175" s="42" t="s">
        <v>148</v>
      </c>
      <c r="D175" s="43">
        <v>17000</v>
      </c>
      <c r="E175" s="43">
        <f t="shared" si="23"/>
        <v>17000</v>
      </c>
    </row>
    <row r="176" spans="1:5" x14ac:dyDescent="0.25">
      <c r="A176" s="41" t="s">
        <v>166</v>
      </c>
      <c r="B176" s="42">
        <v>1</v>
      </c>
      <c r="C176" s="42" t="s">
        <v>148</v>
      </c>
      <c r="D176" s="43">
        <v>1000</v>
      </c>
      <c r="E176" s="43">
        <f t="shared" si="23"/>
        <v>1000</v>
      </c>
    </row>
    <row r="177" spans="1:5" x14ac:dyDescent="0.25">
      <c r="A177" s="5"/>
      <c r="B177" s="11"/>
      <c r="C177" s="11"/>
      <c r="D177" s="8"/>
      <c r="E177" s="8"/>
    </row>
    <row r="178" spans="1:5" x14ac:dyDescent="0.25">
      <c r="A178" s="4" t="s">
        <v>45</v>
      </c>
      <c r="B178" s="3" t="s">
        <v>1</v>
      </c>
      <c r="C178" s="3" t="s">
        <v>2</v>
      </c>
      <c r="D178" s="3" t="s">
        <v>3</v>
      </c>
      <c r="E178" s="6">
        <f>E179</f>
        <v>442.5</v>
      </c>
    </row>
    <row r="179" spans="1:5" x14ac:dyDescent="0.25">
      <c r="A179" s="29" t="s">
        <v>171</v>
      </c>
      <c r="B179" s="32">
        <v>10</v>
      </c>
      <c r="C179" s="32" t="s">
        <v>72</v>
      </c>
      <c r="D179" s="31">
        <v>44.25</v>
      </c>
      <c r="E179" s="31">
        <f t="shared" ref="E179" si="24">B179*D179</f>
        <v>442.5</v>
      </c>
    </row>
    <row r="180" spans="1:5" x14ac:dyDescent="0.25">
      <c r="A180" s="5"/>
      <c r="B180" s="11"/>
      <c r="C180" s="11"/>
      <c r="D180" s="8"/>
      <c r="E180" s="8"/>
    </row>
    <row r="181" spans="1:5" x14ac:dyDescent="0.25">
      <c r="A181" s="4" t="s">
        <v>46</v>
      </c>
      <c r="B181" s="3" t="s">
        <v>1</v>
      </c>
      <c r="C181" s="3" t="s">
        <v>2</v>
      </c>
      <c r="D181" s="3" t="s">
        <v>3</v>
      </c>
      <c r="E181" s="6">
        <f>SUM(E182:E187)</f>
        <v>15094</v>
      </c>
    </row>
    <row r="182" spans="1:5" x14ac:dyDescent="0.25">
      <c r="A182" s="29" t="s">
        <v>47</v>
      </c>
      <c r="B182" s="32">
        <v>1</v>
      </c>
      <c r="C182" s="32" t="s">
        <v>148</v>
      </c>
      <c r="D182" s="31">
        <v>1550</v>
      </c>
      <c r="E182" s="31">
        <f t="shared" ref="E182:E187" si="25">B182*D182</f>
        <v>1550</v>
      </c>
    </row>
    <row r="183" spans="1:5" x14ac:dyDescent="0.25">
      <c r="A183" s="29" t="s">
        <v>48</v>
      </c>
      <c r="B183" s="32">
        <v>1</v>
      </c>
      <c r="C183" s="32" t="s">
        <v>148</v>
      </c>
      <c r="D183" s="31">
        <v>1200</v>
      </c>
      <c r="E183" s="31">
        <f t="shared" si="25"/>
        <v>1200</v>
      </c>
    </row>
    <row r="184" spans="1:5" ht="16.5" customHeight="1" x14ac:dyDescent="0.25">
      <c r="A184" s="29" t="s">
        <v>190</v>
      </c>
      <c r="B184" s="32">
        <v>1</v>
      </c>
      <c r="C184" s="32" t="s">
        <v>148</v>
      </c>
      <c r="D184" s="31">
        <v>3800</v>
      </c>
      <c r="E184" s="31">
        <f t="shared" si="25"/>
        <v>3800</v>
      </c>
    </row>
    <row r="185" spans="1:5" x14ac:dyDescent="0.25">
      <c r="A185" s="29" t="s">
        <v>49</v>
      </c>
      <c r="B185" s="32">
        <v>1</v>
      </c>
      <c r="C185" s="32" t="s">
        <v>148</v>
      </c>
      <c r="D185" s="31">
        <v>3620</v>
      </c>
      <c r="E185" s="31">
        <f t="shared" si="25"/>
        <v>3620</v>
      </c>
    </row>
    <row r="186" spans="1:5" x14ac:dyDescent="0.25">
      <c r="A186" s="29" t="s">
        <v>167</v>
      </c>
      <c r="B186" s="32">
        <v>1</v>
      </c>
      <c r="C186" s="32" t="s">
        <v>148</v>
      </c>
      <c r="D186" s="31">
        <v>1174</v>
      </c>
      <c r="E186" s="31">
        <f t="shared" si="25"/>
        <v>1174</v>
      </c>
    </row>
    <row r="187" spans="1:5" x14ac:dyDescent="0.25">
      <c r="A187" s="29" t="s">
        <v>50</v>
      </c>
      <c r="B187" s="32">
        <v>1</v>
      </c>
      <c r="C187" s="32" t="s">
        <v>148</v>
      </c>
      <c r="D187" s="31">
        <v>3750</v>
      </c>
      <c r="E187" s="31">
        <f t="shared" si="25"/>
        <v>3750</v>
      </c>
    </row>
    <row r="188" spans="1:5" x14ac:dyDescent="0.25">
      <c r="A188" s="5"/>
      <c r="B188" s="11"/>
      <c r="C188" s="11"/>
      <c r="D188" s="8"/>
      <c r="E188" s="8"/>
    </row>
    <row r="189" spans="1:5" x14ac:dyDescent="0.25">
      <c r="A189" s="4" t="s">
        <v>51</v>
      </c>
      <c r="B189" s="3" t="s">
        <v>1</v>
      </c>
      <c r="C189" s="3" t="s">
        <v>2</v>
      </c>
      <c r="D189" s="3" t="s">
        <v>3</v>
      </c>
      <c r="E189" s="6">
        <f>SUM(E190:E193)</f>
        <v>9435</v>
      </c>
    </row>
    <row r="190" spans="1:5" ht="15" customHeight="1" x14ac:dyDescent="0.25">
      <c r="A190" s="29" t="s">
        <v>52</v>
      </c>
      <c r="B190" s="32">
        <v>1</v>
      </c>
      <c r="C190" s="32" t="s">
        <v>148</v>
      </c>
      <c r="D190" s="31">
        <v>1800</v>
      </c>
      <c r="E190" s="31">
        <f t="shared" ref="E190:E193" si="26">B190*D190</f>
        <v>1800</v>
      </c>
    </row>
    <row r="191" spans="1:5" x14ac:dyDescent="0.25">
      <c r="A191" s="29" t="s">
        <v>168</v>
      </c>
      <c r="B191" s="32">
        <v>1</v>
      </c>
      <c r="C191" s="32" t="s">
        <v>148</v>
      </c>
      <c r="D191" s="31">
        <v>1400</v>
      </c>
      <c r="E191" s="31">
        <f t="shared" si="26"/>
        <v>1400</v>
      </c>
    </row>
    <row r="192" spans="1:5" x14ac:dyDescent="0.25">
      <c r="A192" s="41" t="s">
        <v>169</v>
      </c>
      <c r="B192" s="42">
        <v>1</v>
      </c>
      <c r="C192" s="42" t="s">
        <v>148</v>
      </c>
      <c r="D192" s="43">
        <v>3900</v>
      </c>
      <c r="E192" s="43">
        <f t="shared" si="26"/>
        <v>3900</v>
      </c>
    </row>
    <row r="193" spans="1:5" x14ac:dyDescent="0.25">
      <c r="A193" s="41" t="s">
        <v>53</v>
      </c>
      <c r="B193" s="42">
        <v>1</v>
      </c>
      <c r="C193" s="42" t="s">
        <v>148</v>
      </c>
      <c r="D193" s="43">
        <v>2335</v>
      </c>
      <c r="E193" s="43">
        <f t="shared" si="26"/>
        <v>2335</v>
      </c>
    </row>
    <row r="194" spans="1:5" ht="15.75" thickBot="1" x14ac:dyDescent="0.3">
      <c r="A194" s="5"/>
      <c r="B194" s="11"/>
      <c r="C194" s="11"/>
      <c r="D194" s="8"/>
      <c r="E194" s="12"/>
    </row>
    <row r="195" spans="1:5" ht="15.75" thickBot="1" x14ac:dyDescent="0.3">
      <c r="A195" s="14" t="s">
        <v>54</v>
      </c>
      <c r="B195" s="15"/>
      <c r="C195" s="15"/>
      <c r="D195" s="17"/>
      <c r="E195" s="26">
        <f>E196</f>
        <v>3450.1</v>
      </c>
    </row>
    <row r="196" spans="1:5" x14ac:dyDescent="0.25">
      <c r="A196" s="4" t="s">
        <v>55</v>
      </c>
      <c r="B196" s="3" t="s">
        <v>1</v>
      </c>
      <c r="C196" s="3" t="s">
        <v>2</v>
      </c>
      <c r="D196" s="3" t="s">
        <v>3</v>
      </c>
      <c r="E196" s="13">
        <f>SUM(E197:E198)</f>
        <v>3450.1</v>
      </c>
    </row>
    <row r="197" spans="1:5" x14ac:dyDescent="0.25">
      <c r="A197" s="29" t="s">
        <v>56</v>
      </c>
      <c r="B197" s="32">
        <v>6</v>
      </c>
      <c r="C197" s="32" t="s">
        <v>71</v>
      </c>
      <c r="D197" s="31">
        <f>2201/B197</f>
        <v>366.83333333333331</v>
      </c>
      <c r="E197" s="31">
        <f t="shared" ref="E197:E198" si="27">B197*D197</f>
        <v>2201</v>
      </c>
    </row>
    <row r="198" spans="1:5" x14ac:dyDescent="0.25">
      <c r="A198" s="29" t="s">
        <v>57</v>
      </c>
      <c r="B198" s="32">
        <v>1</v>
      </c>
      <c r="C198" s="32" t="s">
        <v>148</v>
      </c>
      <c r="D198" s="31">
        <v>1249.0999999999999</v>
      </c>
      <c r="E198" s="31">
        <f t="shared" si="27"/>
        <v>1249.0999999999999</v>
      </c>
    </row>
    <row r="199" spans="1:5" ht="15.75" thickBot="1" x14ac:dyDescent="0.3">
      <c r="A199" s="5"/>
      <c r="B199" s="11"/>
      <c r="C199" s="11"/>
      <c r="D199" s="8"/>
      <c r="E199" s="12"/>
    </row>
    <row r="200" spans="1:5" ht="15.75" thickBot="1" x14ac:dyDescent="0.3">
      <c r="A200" s="14" t="s">
        <v>59</v>
      </c>
      <c r="B200" s="15"/>
      <c r="C200" s="15"/>
      <c r="D200" s="17"/>
      <c r="E200" s="26">
        <f>E201+E211</f>
        <v>79459.26999999999</v>
      </c>
    </row>
    <row r="201" spans="1:5" x14ac:dyDescent="0.25">
      <c r="A201" s="4" t="s">
        <v>60</v>
      </c>
      <c r="B201" s="3" t="s">
        <v>1</v>
      </c>
      <c r="C201" s="3" t="s">
        <v>2</v>
      </c>
      <c r="D201" s="3" t="s">
        <v>3</v>
      </c>
      <c r="E201" s="13">
        <f>SUM(E202:E209)</f>
        <v>77789.26999999999</v>
      </c>
    </row>
    <row r="202" spans="1:5" x14ac:dyDescent="0.25">
      <c r="A202" s="29" t="s">
        <v>61</v>
      </c>
      <c r="B202" s="32">
        <v>6</v>
      </c>
      <c r="C202" s="32" t="s">
        <v>71</v>
      </c>
      <c r="D202" s="31">
        <v>5646</v>
      </c>
      <c r="E202" s="31">
        <f t="shared" ref="E202:E209" si="28">B202*D202</f>
        <v>33876</v>
      </c>
    </row>
    <row r="203" spans="1:5" x14ac:dyDescent="0.25">
      <c r="A203" s="29" t="s">
        <v>62</v>
      </c>
      <c r="B203" s="32">
        <v>6</v>
      </c>
      <c r="C203" s="32" t="s">
        <v>71</v>
      </c>
      <c r="D203" s="31">
        <v>3000</v>
      </c>
      <c r="E203" s="31">
        <f t="shared" si="28"/>
        <v>18000</v>
      </c>
    </row>
    <row r="204" spans="1:5" x14ac:dyDescent="0.25">
      <c r="A204" s="29" t="s">
        <v>63</v>
      </c>
      <c r="B204" s="32">
        <v>6</v>
      </c>
      <c r="C204" s="32" t="s">
        <v>71</v>
      </c>
      <c r="D204" s="31">
        <v>25</v>
      </c>
      <c r="E204" s="31">
        <f t="shared" si="28"/>
        <v>150</v>
      </c>
    </row>
    <row r="205" spans="1:5" x14ac:dyDescent="0.25">
      <c r="A205" s="29" t="s">
        <v>64</v>
      </c>
      <c r="B205" s="32">
        <v>6</v>
      </c>
      <c r="C205" s="32" t="s">
        <v>71</v>
      </c>
      <c r="D205" s="31">
        <v>100</v>
      </c>
      <c r="E205" s="31">
        <f t="shared" si="28"/>
        <v>600</v>
      </c>
    </row>
    <row r="206" spans="1:5" x14ac:dyDescent="0.25">
      <c r="A206" s="29" t="s">
        <v>65</v>
      </c>
      <c r="B206" s="32">
        <v>6</v>
      </c>
      <c r="C206" s="32" t="s">
        <v>71</v>
      </c>
      <c r="D206" s="31">
        <v>3046.15</v>
      </c>
      <c r="E206" s="31">
        <f t="shared" si="28"/>
        <v>18276.900000000001</v>
      </c>
    </row>
    <row r="207" spans="1:5" x14ac:dyDescent="0.25">
      <c r="A207" s="29" t="s">
        <v>170</v>
      </c>
      <c r="B207" s="32">
        <v>6</v>
      </c>
      <c r="C207" s="32" t="s">
        <v>71</v>
      </c>
      <c r="D207" s="31">
        <f>2242.36/B207</f>
        <v>373.72666666666669</v>
      </c>
      <c r="E207" s="31">
        <f t="shared" si="28"/>
        <v>2242.36</v>
      </c>
    </row>
    <row r="208" spans="1:5" x14ac:dyDescent="0.25">
      <c r="A208" s="29" t="s">
        <v>181</v>
      </c>
      <c r="B208" s="32">
        <v>6</v>
      </c>
      <c r="C208" s="32" t="s">
        <v>71</v>
      </c>
      <c r="D208" s="31">
        <v>650</v>
      </c>
      <c r="E208" s="31">
        <f t="shared" si="28"/>
        <v>3900</v>
      </c>
    </row>
    <row r="209" spans="1:6" x14ac:dyDescent="0.25">
      <c r="A209" s="29" t="s">
        <v>66</v>
      </c>
      <c r="B209" s="32">
        <v>490</v>
      </c>
      <c r="C209" s="32" t="s">
        <v>74</v>
      </c>
      <c r="D209" s="31">
        <f>744.01/B209</f>
        <v>1.5183877551020408</v>
      </c>
      <c r="E209" s="31">
        <f t="shared" si="28"/>
        <v>744.01</v>
      </c>
    </row>
    <row r="210" spans="1:6" x14ac:dyDescent="0.25">
      <c r="A210" s="5"/>
      <c r="B210" s="11"/>
      <c r="C210" s="11"/>
      <c r="D210" s="8"/>
      <c r="E210" s="8"/>
    </row>
    <row r="211" spans="1:6" x14ac:dyDescent="0.25">
      <c r="A211" s="4" t="s">
        <v>67</v>
      </c>
      <c r="B211" s="3" t="s">
        <v>1</v>
      </c>
      <c r="C211" s="3" t="s">
        <v>2</v>
      </c>
      <c r="D211" s="3" t="s">
        <v>3</v>
      </c>
      <c r="E211" s="6">
        <f>E212</f>
        <v>1670</v>
      </c>
    </row>
    <row r="212" spans="1:6" ht="16.5" customHeight="1" x14ac:dyDescent="0.25">
      <c r="A212" s="37" t="s">
        <v>172</v>
      </c>
      <c r="B212" s="38">
        <v>1</v>
      </c>
      <c r="C212" s="38" t="s">
        <v>148</v>
      </c>
      <c r="D212" s="39">
        <v>1670</v>
      </c>
      <c r="E212" s="39">
        <f t="shared" ref="E212" si="29">B212*D212</f>
        <v>1670</v>
      </c>
    </row>
    <row r="213" spans="1:6" ht="17.25" customHeight="1" thickBot="1" x14ac:dyDescent="0.3">
      <c r="A213" s="35"/>
      <c r="B213" s="36"/>
      <c r="C213" s="36"/>
      <c r="D213" s="34"/>
      <c r="E213" s="34"/>
    </row>
    <row r="214" spans="1:6" ht="15.75" thickTop="1" x14ac:dyDescent="0.25">
      <c r="A214" s="47"/>
      <c r="C214" s="57" t="s">
        <v>198</v>
      </c>
      <c r="D214" s="57"/>
      <c r="E214" s="40">
        <f>E212+E201+E196+E181+E179+E170+E172+E173+E171+E162+E122+E123+E124+E125+E130+E131+E104+E101+E93+E88+E85+E82+E76+E75+E62+E47+E48+E36+E33+E34+E21+E12+E10+E190+E191+E119</f>
        <v>342399.25891540135</v>
      </c>
    </row>
    <row r="215" spans="1:6" x14ac:dyDescent="0.25">
      <c r="A215" s="47"/>
      <c r="C215" s="58"/>
      <c r="D215" s="59"/>
      <c r="E215" s="31">
        <f>E216-E214</f>
        <v>75327.836961388297</v>
      </c>
    </row>
    <row r="216" spans="1:6" x14ac:dyDescent="0.25">
      <c r="A216" s="47"/>
      <c r="C216" s="60"/>
      <c r="D216" s="61"/>
      <c r="E216" s="31">
        <f>E214*1.22</f>
        <v>417727.09587678965</v>
      </c>
    </row>
    <row r="217" spans="1:6" x14ac:dyDescent="0.25">
      <c r="A217" s="47"/>
      <c r="C217" s="64" t="s">
        <v>199</v>
      </c>
      <c r="D217" s="64"/>
      <c r="E217" s="43">
        <f>E192+E193+E174+E175+E176+E152+E153+E118+E102+E77+E78+E79+E80+E81+E55+E46+E41+E50</f>
        <v>108431.29</v>
      </c>
      <c r="F217" t="s">
        <v>204</v>
      </c>
    </row>
    <row r="218" spans="1:6" x14ac:dyDescent="0.25">
      <c r="A218" s="47"/>
      <c r="C218" s="73"/>
      <c r="D218" s="74"/>
      <c r="E218" s="43">
        <f>E219-E217</f>
        <v>23854.883799999996</v>
      </c>
    </row>
    <row r="219" spans="1:6" x14ac:dyDescent="0.25">
      <c r="A219" s="47"/>
      <c r="C219" s="75"/>
      <c r="D219" s="76"/>
      <c r="E219" s="43">
        <f>E217*1.22</f>
        <v>132286.17379999999</v>
      </c>
    </row>
    <row r="220" spans="1:6" x14ac:dyDescent="0.25">
      <c r="A220" s="47"/>
      <c r="C220" s="65" t="s">
        <v>200</v>
      </c>
      <c r="D220" s="65"/>
      <c r="E220" s="45">
        <f>E155+E144+E133+E126+E127+E128+E129+E31+E32</f>
        <v>45494.499999999993</v>
      </c>
    </row>
    <row r="221" spans="1:6" x14ac:dyDescent="0.25">
      <c r="A221" s="47"/>
      <c r="C221" s="69"/>
      <c r="D221" s="70"/>
      <c r="E221" s="45">
        <f>E222-E220</f>
        <v>10008.789999999994</v>
      </c>
    </row>
    <row r="222" spans="1:6" ht="15.75" thickBot="1" x14ac:dyDescent="0.3">
      <c r="A222" s="47"/>
      <c r="C222" s="71"/>
      <c r="D222" s="72"/>
      <c r="E222" s="48">
        <f>E220*1.22</f>
        <v>55503.289999999986</v>
      </c>
    </row>
    <row r="223" spans="1:6" ht="15.75" thickTop="1" x14ac:dyDescent="0.25">
      <c r="A223" s="49"/>
      <c r="C223" s="66" t="s">
        <v>70</v>
      </c>
      <c r="D223" s="66"/>
      <c r="E223" s="28">
        <f>E214+E217+E220</f>
        <v>496325.04891540133</v>
      </c>
    </row>
    <row r="224" spans="1:6" x14ac:dyDescent="0.25">
      <c r="A224" s="49"/>
      <c r="C224" s="67" t="s">
        <v>68</v>
      </c>
      <c r="D224" s="67"/>
      <c r="E224" s="28">
        <f>E225-E223</f>
        <v>109191.51076138823</v>
      </c>
    </row>
    <row r="225" spans="1:5" ht="15.75" thickBot="1" x14ac:dyDescent="0.3">
      <c r="A225" s="49"/>
      <c r="C225" s="68" t="s">
        <v>69</v>
      </c>
      <c r="D225" s="68"/>
      <c r="E225" s="27">
        <f>E223*1.22</f>
        <v>605516.55967678956</v>
      </c>
    </row>
    <row r="226" spans="1:5" ht="15.75" thickTop="1" x14ac:dyDescent="0.25"/>
    <row r="227" spans="1:5" x14ac:dyDescent="0.25">
      <c r="A227" s="2" t="s">
        <v>201</v>
      </c>
    </row>
    <row r="228" spans="1:5" ht="30.75" customHeight="1" x14ac:dyDescent="0.25">
      <c r="A228" s="62" t="s">
        <v>202</v>
      </c>
      <c r="B228" s="62"/>
      <c r="C228" s="62"/>
      <c r="D228" s="62"/>
      <c r="E228" s="62"/>
    </row>
    <row r="229" spans="1:5" x14ac:dyDescent="0.25">
      <c r="A229" s="63"/>
      <c r="B229" s="63"/>
      <c r="C229" s="63"/>
      <c r="D229" s="63"/>
      <c r="E229" s="63"/>
    </row>
    <row r="230" spans="1:5" x14ac:dyDescent="0.25">
      <c r="A230" s="63"/>
      <c r="B230" s="63"/>
      <c r="C230" s="63"/>
      <c r="D230" s="63"/>
      <c r="E230" s="63"/>
    </row>
    <row r="231" spans="1:5" x14ac:dyDescent="0.25">
      <c r="A231" s="63"/>
      <c r="B231" s="63"/>
      <c r="C231" s="63"/>
      <c r="D231" s="63"/>
      <c r="E231" s="63"/>
    </row>
  </sheetData>
  <sheetProtection selectLockedCells="1"/>
  <mergeCells count="17">
    <mergeCell ref="C215:D216"/>
    <mergeCell ref="A228:E228"/>
    <mergeCell ref="A229:E229"/>
    <mergeCell ref="A230:E230"/>
    <mergeCell ref="A231:E231"/>
    <mergeCell ref="C217:D217"/>
    <mergeCell ref="C220:D220"/>
    <mergeCell ref="C223:D223"/>
    <mergeCell ref="C224:D224"/>
    <mergeCell ref="C225:D225"/>
    <mergeCell ref="C221:D222"/>
    <mergeCell ref="C218:D219"/>
    <mergeCell ref="B5:E5"/>
    <mergeCell ref="B4:E4"/>
    <mergeCell ref="B3:E3"/>
    <mergeCell ref="A2:E2"/>
    <mergeCell ref="C214:D21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Rivo Teppo</dc:creator>
  <cp:lastModifiedBy>Ahto Vink</cp:lastModifiedBy>
  <cp:lastPrinted>2024-04-05T13:08:37Z</cp:lastPrinted>
  <dcterms:created xsi:type="dcterms:W3CDTF">2024-03-20T07:18:13Z</dcterms:created>
  <dcterms:modified xsi:type="dcterms:W3CDTF">2024-06-04T05:31:12Z</dcterms:modified>
</cp:coreProperties>
</file>